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ktár\02. Önkormányzatok\01. Vonyarcvashegy\02. Rendeletek\2022\"/>
    </mc:Choice>
  </mc:AlternateContent>
  <xr:revisionPtr revIDLastSave="0" documentId="13_ncr:1_{E22C6955-28F5-47E0-BE17-910C90AC93D4}" xr6:coauthVersionLast="47" xr6:coauthVersionMax="47" xr10:uidLastSave="{00000000-0000-0000-0000-000000000000}"/>
  <bookViews>
    <workbookView xWindow="-108" yWindow="-108" windowWidth="23256" windowHeight="12456" tabRatio="674" xr2:uid="{00000000-000D-0000-FFFF-FFFF00000000}"/>
  </bookViews>
  <sheets>
    <sheet name="1. Mérlegszerű" sheetId="8" r:id="rId1"/>
    <sheet name="1.a. Összevont bevételek" sheetId="34" r:id="rId2"/>
    <sheet name="1.b Összevont kiadások" sheetId="35" r:id="rId3"/>
    <sheet name="2a. Önkormányzat bevételek" sheetId="2" r:id="rId4"/>
    <sheet name="2b. Önkormányzat kiadások" sheetId="3" r:id="rId5"/>
    <sheet name="3a. Hivatal" sheetId="6" r:id="rId6"/>
    <sheet name="3b. HivatalVv" sheetId="21" r:id="rId7"/>
    <sheet name="3c. HivatalBgy" sheetId="22" r:id="rId8"/>
    <sheet name="4. Művelődési Ház" sheetId="20" r:id="rId9"/>
    <sheet name="6. Felhalmozás" sheetId="37" r:id="rId10"/>
    <sheet name="7,a Műk. mérleg" sheetId="11" r:id="rId11"/>
    <sheet name="7,b Felhalmozási mérleg" sheetId="12" r:id="rId12"/>
    <sheet name="8. Tartalékok" sheetId="13" r:id="rId13"/>
    <sheet name="11. Likviditási terv " sheetId="36" r:id="rId14"/>
    <sheet name="14. Adóss.kel.ügyl." sheetId="19" r:id="rId15"/>
    <sheet name="17. Egyébműkctám" sheetId="31" r:id="rId16"/>
  </sheets>
  <definedNames>
    <definedName name="_xlnm.Print_Area" localSheetId="0">'1. Mérlegszerű'!$A$2:$R$69</definedName>
    <definedName name="_xlnm.Print_Area" localSheetId="1">'1.a. Összevont bevételek'!$A$2:$X$49</definedName>
    <definedName name="_xlnm.Print_Area" localSheetId="2">'1.b Összevont kiadások'!$A$2:$X$67</definedName>
    <definedName name="_xlnm.Print_Area" localSheetId="3">'2a. Önkormányzat bevételek'!$A$2:$X$49</definedName>
    <definedName name="_xlnm.Print_Area" localSheetId="4">'2b. Önkormányzat kiadások'!$A$2:$X$66</definedName>
    <definedName name="_xlnm.Print_Area" localSheetId="5">'3a. Hivatal'!$A$1:$R$51</definedName>
    <definedName name="_xlnm.Print_Area" localSheetId="6">'3b. HivatalVv'!$A$1:$R$52</definedName>
    <definedName name="_xlnm.Print_Area" localSheetId="7">'3c. HivatalBgy'!$A$1:$R$52</definedName>
    <definedName name="_xlnm.Print_Area" localSheetId="8">'4. Művelődési Ház'!$A$2:$R$51</definedName>
    <definedName name="_xlnm.Print_Area" localSheetId="9">'6. Felhalmozás'!$A$2:$N$58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9" i="34" l="1"/>
  <c r="Q15" i="8"/>
  <c r="Q12" i="8"/>
  <c r="Q11" i="8"/>
  <c r="Q10" i="8"/>
  <c r="H12" i="8"/>
  <c r="H11" i="8"/>
  <c r="S26" i="34"/>
  <c r="R26" i="34"/>
  <c r="R21" i="35"/>
  <c r="S21" i="35"/>
  <c r="S20" i="35"/>
  <c r="S8" i="35"/>
  <c r="R8" i="35"/>
  <c r="R20" i="35"/>
  <c r="R20" i="2"/>
  <c r="S20" i="2"/>
  <c r="S31" i="2"/>
  <c r="S27" i="2"/>
  <c r="Q31" i="2"/>
  <c r="Q27" i="2"/>
  <c r="Q24" i="2"/>
  <c r="Q22" i="2"/>
  <c r="R49" i="3"/>
  <c r="V49" i="3" s="1"/>
  <c r="Q49" i="3"/>
  <c r="Q65" i="3"/>
  <c r="R65" i="3"/>
  <c r="R38" i="3"/>
  <c r="Q38" i="3"/>
  <c r="R35" i="3"/>
  <c r="Q35" i="3"/>
  <c r="R29" i="3"/>
  <c r="Q29" i="3"/>
  <c r="S20" i="3"/>
  <c r="Q20" i="3"/>
  <c r="S19" i="3"/>
  <c r="Q19" i="3"/>
  <c r="L14" i="11"/>
  <c r="L11" i="11"/>
  <c r="L10" i="11"/>
  <c r="L9" i="11"/>
  <c r="F13" i="11"/>
  <c r="F12" i="11"/>
  <c r="H9" i="13"/>
  <c r="D11" i="13"/>
  <c r="G8" i="13"/>
  <c r="K91" i="36"/>
  <c r="K87" i="36"/>
  <c r="K86" i="36"/>
  <c r="K85" i="36"/>
  <c r="K75" i="36"/>
  <c r="K74" i="36"/>
  <c r="Q20" i="8"/>
  <c r="N40" i="21"/>
  <c r="N38" i="21"/>
  <c r="N36" i="21"/>
  <c r="N25" i="21"/>
  <c r="R44" i="3" l="1"/>
  <c r="Q26" i="8" l="1"/>
  <c r="H24" i="8"/>
  <c r="N37" i="20"/>
  <c r="N9" i="20"/>
  <c r="F10" i="11"/>
  <c r="K76" i="36"/>
  <c r="R15" i="3"/>
  <c r="Q15" i="3"/>
  <c r="R10" i="3"/>
  <c r="Q10" i="3"/>
  <c r="S18" i="3"/>
  <c r="R18" i="3"/>
  <c r="Q18" i="3"/>
  <c r="S15" i="3"/>
  <c r="S10" i="3"/>
  <c r="W20" i="2"/>
  <c r="W27" i="2"/>
  <c r="Q50" i="35"/>
  <c r="S39" i="3"/>
  <c r="Q39" i="3"/>
  <c r="Q52" i="8"/>
  <c r="H26" i="8"/>
  <c r="Q47" i="8"/>
  <c r="Q43" i="8"/>
  <c r="Q42" i="8"/>
  <c r="Q14" i="8"/>
  <c r="H10" i="8"/>
  <c r="H13" i="8"/>
  <c r="W21" i="35"/>
  <c r="R41" i="35"/>
  <c r="W20" i="35"/>
  <c r="W8" i="35"/>
  <c r="T67" i="35"/>
  <c r="X67" i="35"/>
  <c r="Q57" i="35"/>
  <c r="Q51" i="35"/>
  <c r="Q20" i="35"/>
  <c r="V20" i="35" s="1"/>
  <c r="Q41" i="35"/>
  <c r="Q60" i="35"/>
  <c r="Q63" i="35"/>
  <c r="K19" i="34"/>
  <c r="G19" i="34"/>
  <c r="F19" i="34" s="1"/>
  <c r="N19" i="34" s="1"/>
  <c r="Q16" i="34"/>
  <c r="Q36" i="34"/>
  <c r="Q39" i="34"/>
  <c r="Q41" i="34"/>
  <c r="Q47" i="34"/>
  <c r="Q48" i="34"/>
  <c r="Q44" i="34" s="1"/>
  <c r="T49" i="34"/>
  <c r="X49" i="34"/>
  <c r="S67" i="35" l="1"/>
  <c r="W67" i="35" s="1"/>
  <c r="O19" i="34"/>
  <c r="Q20" i="2" l="1"/>
  <c r="R31" i="2" l="1"/>
  <c r="R27" i="2"/>
  <c r="R44" i="2"/>
  <c r="R42" i="2"/>
  <c r="R41" i="2" s="1"/>
  <c r="R39" i="2"/>
  <c r="R36" i="2"/>
  <c r="R30" i="2"/>
  <c r="R25" i="2"/>
  <c r="R21" i="2"/>
  <c r="R18" i="2"/>
  <c r="R17" i="2"/>
  <c r="R16" i="2" s="1"/>
  <c r="R15" i="2"/>
  <c r="R14" i="2"/>
  <c r="R13" i="2"/>
  <c r="R9" i="2" s="1"/>
  <c r="R8" i="2" s="1"/>
  <c r="Q42" i="2"/>
  <c r="Q30" i="2"/>
  <c r="Q25" i="2"/>
  <c r="Q18" i="2"/>
  <c r="Q17" i="2"/>
  <c r="Q15" i="2"/>
  <c r="Q14" i="2"/>
  <c r="Q13" i="2"/>
  <c r="R19" i="2" l="1"/>
  <c r="R26" i="2"/>
  <c r="Q9" i="2"/>
  <c r="S35" i="3"/>
  <c r="S38" i="3"/>
  <c r="R39" i="3"/>
  <c r="S31" i="3"/>
  <c r="R31" i="3"/>
  <c r="R37" i="3"/>
  <c r="R20" i="3"/>
  <c r="S11" i="3"/>
  <c r="R11" i="3"/>
  <c r="R62" i="3"/>
  <c r="R59" i="3"/>
  <c r="R58" i="3"/>
  <c r="R57" i="3"/>
  <c r="R56" i="3"/>
  <c r="R55" i="3"/>
  <c r="R54" i="3"/>
  <c r="R52" i="3"/>
  <c r="R50" i="3"/>
  <c r="R48" i="3"/>
  <c r="R46" i="3"/>
  <c r="R41" i="3"/>
  <c r="R36" i="3"/>
  <c r="R30" i="3"/>
  <c r="R25" i="3"/>
  <c r="R24" i="3"/>
  <c r="R22" i="3" s="1"/>
  <c r="R23" i="3"/>
  <c r="R16" i="3"/>
  <c r="Q55" i="3"/>
  <c r="Q54" i="3"/>
  <c r="Q52" i="3"/>
  <c r="Q58" i="3"/>
  <c r="Q57" i="3"/>
  <c r="Q48" i="3"/>
  <c r="Q46" i="3"/>
  <c r="Q24" i="3"/>
  <c r="Q30" i="3"/>
  <c r="Q23" i="3"/>
  <c r="Q36" i="3"/>
  <c r="Q31" i="3"/>
  <c r="Q11" i="3"/>
  <c r="N47" i="21"/>
  <c r="N44" i="21"/>
  <c r="N39" i="21"/>
  <c r="N38" i="20"/>
  <c r="N39" i="20"/>
  <c r="N24" i="20"/>
  <c r="E8" i="37"/>
  <c r="M56" i="37"/>
  <c r="M52" i="37"/>
  <c r="M16" i="37"/>
  <c r="M32" i="37"/>
  <c r="M34" i="37"/>
  <c r="M38" i="37"/>
  <c r="M47" i="37"/>
  <c r="M46" i="37"/>
  <c r="N46" i="37" s="1"/>
  <c r="N47" i="37"/>
  <c r="K48" i="37"/>
  <c r="L48" i="37"/>
  <c r="J48" i="37"/>
  <c r="R43" i="2" l="1"/>
  <c r="R49" i="2" s="1"/>
  <c r="R28" i="3"/>
  <c r="R21" i="3" s="1"/>
  <c r="R9" i="3"/>
  <c r="R8" i="3" s="1"/>
  <c r="Q9" i="3"/>
  <c r="N48" i="37"/>
  <c r="M48" i="37"/>
  <c r="L28" i="11"/>
  <c r="M28" i="11"/>
  <c r="L13" i="11"/>
  <c r="F14" i="11"/>
  <c r="F9" i="11"/>
  <c r="F18" i="12"/>
  <c r="L9" i="12"/>
  <c r="L11" i="12"/>
  <c r="F9" i="12"/>
  <c r="K92" i="36"/>
  <c r="K93" i="36"/>
  <c r="K90" i="36"/>
  <c r="O96" i="36"/>
  <c r="K77" i="36"/>
  <c r="R61" i="3" l="1"/>
  <c r="R66" i="3" s="1"/>
  <c r="L16" i="11"/>
  <c r="L29" i="11" s="1"/>
  <c r="F16" i="11"/>
  <c r="R66" i="8"/>
  <c r="R65" i="8"/>
  <c r="R64" i="8"/>
  <c r="R63" i="8"/>
  <c r="Q62" i="8"/>
  <c r="Q67" i="8" s="1"/>
  <c r="R67" i="8" s="1"/>
  <c r="R61" i="8"/>
  <c r="R60" i="8"/>
  <c r="R59" i="8"/>
  <c r="R58" i="8"/>
  <c r="R57" i="8"/>
  <c r="Q55" i="8"/>
  <c r="R55" i="8" s="1"/>
  <c r="R54" i="8"/>
  <c r="R53" i="8"/>
  <c r="R52" i="8"/>
  <c r="R51" i="8"/>
  <c r="Q50" i="8"/>
  <c r="R50" i="8" s="1"/>
  <c r="R49" i="8"/>
  <c r="R48" i="8"/>
  <c r="R47" i="8"/>
  <c r="R46" i="8"/>
  <c r="Q45" i="8"/>
  <c r="R43" i="8"/>
  <c r="R42" i="8"/>
  <c r="R41" i="8"/>
  <c r="R40" i="8"/>
  <c r="R39" i="8"/>
  <c r="R36" i="8"/>
  <c r="Q35" i="8"/>
  <c r="R35" i="8" s="1"/>
  <c r="R34" i="8"/>
  <c r="Q33" i="8"/>
  <c r="R33" i="8" s="1"/>
  <c r="R32" i="8"/>
  <c r="Q31" i="8"/>
  <c r="Q37" i="8" s="1"/>
  <c r="R37" i="8" s="1"/>
  <c r="R30" i="8"/>
  <c r="Q28" i="8"/>
  <c r="R28" i="8" s="1"/>
  <c r="R27" i="8"/>
  <c r="R26" i="8"/>
  <c r="R25" i="8"/>
  <c r="R24" i="8"/>
  <c r="R23" i="8"/>
  <c r="Q22" i="8"/>
  <c r="R22" i="8" s="1"/>
  <c r="R21" i="8"/>
  <c r="R20" i="8"/>
  <c r="R19" i="8"/>
  <c r="R18" i="8"/>
  <c r="R17" i="8"/>
  <c r="R15" i="8"/>
  <c r="R14" i="8"/>
  <c r="R13" i="8"/>
  <c r="R12" i="8"/>
  <c r="R11" i="8"/>
  <c r="Q16" i="8"/>
  <c r="R7" i="8"/>
  <c r="Q7" i="8"/>
  <c r="I66" i="8"/>
  <c r="I65" i="8"/>
  <c r="I64" i="8"/>
  <c r="I63" i="8"/>
  <c r="H62" i="8"/>
  <c r="H67" i="8" s="1"/>
  <c r="I61" i="8"/>
  <c r="I60" i="8"/>
  <c r="I59" i="8"/>
  <c r="I62" i="8" s="1"/>
  <c r="I67" i="8" s="1"/>
  <c r="H55" i="8"/>
  <c r="I54" i="8"/>
  <c r="I53" i="8"/>
  <c r="I52" i="8"/>
  <c r="I55" i="8" s="1"/>
  <c r="I51" i="8"/>
  <c r="H50" i="8"/>
  <c r="I49" i="8"/>
  <c r="I48" i="8"/>
  <c r="I47" i="8"/>
  <c r="I50" i="8" s="1"/>
  <c r="I46" i="8"/>
  <c r="I44" i="8"/>
  <c r="I43" i="8"/>
  <c r="H45" i="8"/>
  <c r="H56" i="8" s="1"/>
  <c r="H68" i="8" s="1"/>
  <c r="I36" i="8"/>
  <c r="I35" i="8" s="1"/>
  <c r="H35" i="8"/>
  <c r="I34" i="8"/>
  <c r="I33" i="8" s="1"/>
  <c r="H33" i="8"/>
  <c r="H31" i="8"/>
  <c r="H28" i="8"/>
  <c r="I27" i="8"/>
  <c r="I26" i="8"/>
  <c r="I25" i="8"/>
  <c r="I24" i="8"/>
  <c r="I23" i="8"/>
  <c r="H22" i="8"/>
  <c r="I21" i="8"/>
  <c r="I20" i="8"/>
  <c r="I19" i="8"/>
  <c r="I18" i="8"/>
  <c r="I22" i="8" s="1"/>
  <c r="I17" i="8"/>
  <c r="I15" i="8"/>
  <c r="I14" i="8"/>
  <c r="I13" i="8"/>
  <c r="I12" i="8"/>
  <c r="I11" i="8"/>
  <c r="H16" i="8"/>
  <c r="W48" i="34"/>
  <c r="U48" i="34"/>
  <c r="R48" i="34"/>
  <c r="V48" i="34" s="1"/>
  <c r="W47" i="34"/>
  <c r="U47" i="34"/>
  <c r="R47" i="34"/>
  <c r="V47" i="34" s="1"/>
  <c r="W46" i="34"/>
  <c r="U46" i="34"/>
  <c r="R46" i="34"/>
  <c r="V46" i="34" s="1"/>
  <c r="W45" i="34"/>
  <c r="U45" i="34"/>
  <c r="R45" i="34"/>
  <c r="V45" i="34" s="1"/>
  <c r="X44" i="34"/>
  <c r="W44" i="34"/>
  <c r="T44" i="34"/>
  <c r="U43" i="34"/>
  <c r="S43" i="34"/>
  <c r="S49" i="34" s="1"/>
  <c r="R43" i="34"/>
  <c r="V43" i="34" s="1"/>
  <c r="W42" i="34"/>
  <c r="U42" i="34"/>
  <c r="R42" i="34"/>
  <c r="V42" i="34" s="1"/>
  <c r="X41" i="34"/>
  <c r="W41" i="34"/>
  <c r="T41" i="34"/>
  <c r="W40" i="34"/>
  <c r="U40" i="34"/>
  <c r="R40" i="34"/>
  <c r="V40" i="34" s="1"/>
  <c r="W39" i="34"/>
  <c r="W38" i="34"/>
  <c r="U38" i="34"/>
  <c r="R38" i="34"/>
  <c r="V38" i="34" s="1"/>
  <c r="W37" i="34"/>
  <c r="U37" i="34"/>
  <c r="R37" i="34"/>
  <c r="V37" i="34" s="1"/>
  <c r="X36" i="34"/>
  <c r="W36" i="34"/>
  <c r="U36" i="34"/>
  <c r="T36" i="34"/>
  <c r="R36" i="34"/>
  <c r="V36" i="34" s="1"/>
  <c r="W35" i="34"/>
  <c r="U35" i="34"/>
  <c r="R35" i="34"/>
  <c r="V35" i="34" s="1"/>
  <c r="W34" i="34"/>
  <c r="U34" i="34"/>
  <c r="R34" i="34"/>
  <c r="V34" i="34" s="1"/>
  <c r="W33" i="34"/>
  <c r="U33" i="34"/>
  <c r="R33" i="34"/>
  <c r="V33" i="34" s="1"/>
  <c r="W32" i="34"/>
  <c r="U32" i="34"/>
  <c r="R32" i="34"/>
  <c r="V32" i="34" s="1"/>
  <c r="W31" i="34"/>
  <c r="U31" i="34"/>
  <c r="R31" i="34"/>
  <c r="V31" i="34" s="1"/>
  <c r="W30" i="34"/>
  <c r="U30" i="34"/>
  <c r="R30" i="34"/>
  <c r="V30" i="34" s="1"/>
  <c r="W29" i="34"/>
  <c r="U29" i="34"/>
  <c r="R29" i="34"/>
  <c r="V29" i="34" s="1"/>
  <c r="W28" i="34"/>
  <c r="U28" i="34"/>
  <c r="R28" i="34"/>
  <c r="V28" i="34" s="1"/>
  <c r="W27" i="34"/>
  <c r="U27" i="34"/>
  <c r="R27" i="34"/>
  <c r="V27" i="34" s="1"/>
  <c r="X26" i="34"/>
  <c r="W26" i="34"/>
  <c r="T26" i="34"/>
  <c r="W25" i="34"/>
  <c r="V25" i="34"/>
  <c r="U25" i="34"/>
  <c r="R25" i="34"/>
  <c r="W24" i="34"/>
  <c r="V24" i="34"/>
  <c r="U24" i="34"/>
  <c r="R24" i="34"/>
  <c r="W23" i="34"/>
  <c r="V23" i="34"/>
  <c r="U23" i="34"/>
  <c r="R23" i="34"/>
  <c r="W22" i="34"/>
  <c r="V22" i="34"/>
  <c r="U22" i="34"/>
  <c r="R22" i="34"/>
  <c r="W21" i="34"/>
  <c r="V21" i="34"/>
  <c r="U21" i="34"/>
  <c r="R21" i="34"/>
  <c r="W20" i="34"/>
  <c r="V20" i="34"/>
  <c r="U20" i="34"/>
  <c r="R20" i="34"/>
  <c r="X19" i="34"/>
  <c r="W19" i="34"/>
  <c r="T19" i="34"/>
  <c r="W18" i="34"/>
  <c r="U18" i="34"/>
  <c r="R18" i="34"/>
  <c r="V18" i="34" s="1"/>
  <c r="W17" i="34"/>
  <c r="U17" i="34"/>
  <c r="R17" i="34"/>
  <c r="V17" i="34" s="1"/>
  <c r="X16" i="34"/>
  <c r="W16" i="34"/>
  <c r="T16" i="34"/>
  <c r="W15" i="34"/>
  <c r="U15" i="34"/>
  <c r="R15" i="34"/>
  <c r="V15" i="34" s="1"/>
  <c r="W14" i="34"/>
  <c r="U14" i="34"/>
  <c r="R14" i="34"/>
  <c r="V14" i="34" s="1"/>
  <c r="W13" i="34"/>
  <c r="U13" i="34"/>
  <c r="R13" i="34"/>
  <c r="V13" i="34" s="1"/>
  <c r="W12" i="34"/>
  <c r="U12" i="34"/>
  <c r="R12" i="34"/>
  <c r="V12" i="34" s="1"/>
  <c r="W11" i="34"/>
  <c r="U11" i="34"/>
  <c r="R11" i="34"/>
  <c r="V11" i="34" s="1"/>
  <c r="W10" i="34"/>
  <c r="U10" i="34"/>
  <c r="R10" i="34"/>
  <c r="V10" i="34" s="1"/>
  <c r="W9" i="34"/>
  <c r="U9" i="34"/>
  <c r="R9" i="34"/>
  <c r="X8" i="34"/>
  <c r="X43" i="34" s="1"/>
  <c r="W8" i="34"/>
  <c r="T8" i="34"/>
  <c r="T43" i="34" s="1"/>
  <c r="W66" i="35"/>
  <c r="U66" i="35"/>
  <c r="R66" i="35"/>
  <c r="V66" i="35" s="1"/>
  <c r="W65" i="35"/>
  <c r="U65" i="35"/>
  <c r="R65" i="35"/>
  <c r="V65" i="35" s="1"/>
  <c r="W64" i="35"/>
  <c r="U64" i="35"/>
  <c r="R64" i="35"/>
  <c r="V64" i="35" s="1"/>
  <c r="X63" i="35"/>
  <c r="W63" i="35"/>
  <c r="U63" i="35"/>
  <c r="T63" i="35"/>
  <c r="R63" i="35"/>
  <c r="V63" i="35" s="1"/>
  <c r="U62" i="35"/>
  <c r="S62" i="35"/>
  <c r="W62" i="35" s="1"/>
  <c r="R62" i="35"/>
  <c r="V62" i="35" s="1"/>
  <c r="W61" i="35"/>
  <c r="U61" i="35"/>
  <c r="R61" i="35"/>
  <c r="V61" i="35" s="1"/>
  <c r="W60" i="35"/>
  <c r="U60" i="35"/>
  <c r="W59" i="35"/>
  <c r="U59" i="35"/>
  <c r="R59" i="35"/>
  <c r="V59" i="35" s="1"/>
  <c r="W58" i="35"/>
  <c r="U58" i="35"/>
  <c r="R58" i="35"/>
  <c r="V58" i="35" s="1"/>
  <c r="W57" i="35"/>
  <c r="R57" i="35"/>
  <c r="V57" i="35" s="1"/>
  <c r="W56" i="35"/>
  <c r="U56" i="35"/>
  <c r="R56" i="35"/>
  <c r="V56" i="35" s="1"/>
  <c r="W55" i="35"/>
  <c r="U55" i="35"/>
  <c r="R55" i="35"/>
  <c r="V55" i="35" s="1"/>
  <c r="W54" i="35"/>
  <c r="U54" i="35"/>
  <c r="R54" i="35"/>
  <c r="V54" i="35" s="1"/>
  <c r="W53" i="35"/>
  <c r="U53" i="35"/>
  <c r="R53" i="35"/>
  <c r="V53" i="35" s="1"/>
  <c r="W52" i="35"/>
  <c r="U52" i="35"/>
  <c r="R52" i="35"/>
  <c r="V52" i="35" s="1"/>
  <c r="X51" i="35"/>
  <c r="W51" i="35"/>
  <c r="T51" i="35"/>
  <c r="W50" i="35"/>
  <c r="R50" i="35"/>
  <c r="V50" i="35" s="1"/>
  <c r="W49" i="35"/>
  <c r="U49" i="35"/>
  <c r="R49" i="35"/>
  <c r="V49" i="35" s="1"/>
  <c r="W48" i="35"/>
  <c r="U48" i="35"/>
  <c r="R48" i="35"/>
  <c r="V48" i="35" s="1"/>
  <c r="W47" i="35"/>
  <c r="U47" i="35"/>
  <c r="R47" i="35"/>
  <c r="V47" i="35" s="1"/>
  <c r="W46" i="35"/>
  <c r="U46" i="35"/>
  <c r="R46" i="35"/>
  <c r="V46" i="35" s="1"/>
  <c r="W45" i="35"/>
  <c r="U45" i="35"/>
  <c r="R45" i="35"/>
  <c r="V45" i="35" s="1"/>
  <c r="X44" i="35"/>
  <c r="W44" i="35"/>
  <c r="T44" i="35"/>
  <c r="W43" i="35"/>
  <c r="U43" i="35"/>
  <c r="R43" i="35"/>
  <c r="V43" i="35" s="1"/>
  <c r="W42" i="35"/>
  <c r="U42" i="35"/>
  <c r="R42" i="35"/>
  <c r="V42" i="35" s="1"/>
  <c r="X41" i="35"/>
  <c r="W41" i="35"/>
  <c r="U41" i="35"/>
  <c r="T41" i="35"/>
  <c r="V41" i="35"/>
  <c r="W40" i="35"/>
  <c r="U40" i="35"/>
  <c r="R40" i="35"/>
  <c r="V40" i="35" s="1"/>
  <c r="W39" i="35"/>
  <c r="V39" i="35"/>
  <c r="U39" i="35"/>
  <c r="R39" i="35"/>
  <c r="W38" i="35"/>
  <c r="V38" i="35"/>
  <c r="U38" i="35"/>
  <c r="R38" i="35"/>
  <c r="X37" i="35"/>
  <c r="X21" i="35" s="1"/>
  <c r="U37" i="35"/>
  <c r="T37" i="35"/>
  <c r="T21" i="35" s="1"/>
  <c r="S37" i="35"/>
  <c r="W37" i="35" s="1"/>
  <c r="R37" i="35"/>
  <c r="V37" i="35" s="1"/>
  <c r="W36" i="35"/>
  <c r="U36" i="35"/>
  <c r="R36" i="35"/>
  <c r="V36" i="35" s="1"/>
  <c r="W35" i="35"/>
  <c r="U35" i="35"/>
  <c r="R35" i="35"/>
  <c r="V35" i="35" s="1"/>
  <c r="W34" i="35"/>
  <c r="U34" i="35"/>
  <c r="R34" i="35"/>
  <c r="V34" i="35" s="1"/>
  <c r="W33" i="35"/>
  <c r="U33" i="35"/>
  <c r="R33" i="35"/>
  <c r="V33" i="35" s="1"/>
  <c r="W32" i="35"/>
  <c r="U32" i="35"/>
  <c r="R32" i="35"/>
  <c r="V32" i="35" s="1"/>
  <c r="W31" i="35"/>
  <c r="U31" i="35"/>
  <c r="R31" i="35"/>
  <c r="V31" i="35" s="1"/>
  <c r="W30" i="35"/>
  <c r="U30" i="35"/>
  <c r="R30" i="35"/>
  <c r="V30" i="35" s="1"/>
  <c r="W29" i="35"/>
  <c r="U29" i="35"/>
  <c r="R29" i="35"/>
  <c r="V29" i="35" s="1"/>
  <c r="W28" i="35"/>
  <c r="U28" i="35"/>
  <c r="R28" i="35"/>
  <c r="V28" i="35" s="1"/>
  <c r="W27" i="35"/>
  <c r="U27" i="35"/>
  <c r="R27" i="35"/>
  <c r="V27" i="35" s="1"/>
  <c r="W26" i="35"/>
  <c r="U26" i="35"/>
  <c r="R26" i="35"/>
  <c r="V26" i="35" s="1"/>
  <c r="W25" i="35"/>
  <c r="U25" i="35"/>
  <c r="R25" i="35"/>
  <c r="V25" i="35" s="1"/>
  <c r="W24" i="35"/>
  <c r="U24" i="35"/>
  <c r="R24" i="35"/>
  <c r="V24" i="35" s="1"/>
  <c r="W23" i="35"/>
  <c r="V23" i="35"/>
  <c r="U23" i="35"/>
  <c r="R23" i="35"/>
  <c r="W22" i="35"/>
  <c r="V22" i="35"/>
  <c r="U22" i="35"/>
  <c r="R22" i="35"/>
  <c r="U20" i="35"/>
  <c r="W19" i="35"/>
  <c r="U19" i="35"/>
  <c r="R19" i="35"/>
  <c r="V19" i="35" s="1"/>
  <c r="W18" i="35"/>
  <c r="U18" i="35"/>
  <c r="R18" i="35"/>
  <c r="V18" i="35" s="1"/>
  <c r="W17" i="35"/>
  <c r="U17" i="35"/>
  <c r="R17" i="35"/>
  <c r="V17" i="35" s="1"/>
  <c r="X16" i="35"/>
  <c r="U16" i="35"/>
  <c r="T16" i="35"/>
  <c r="S16" i="35"/>
  <c r="W16" i="35" s="1"/>
  <c r="R16" i="35"/>
  <c r="V16" i="35" s="1"/>
  <c r="W15" i="35"/>
  <c r="U15" i="35"/>
  <c r="R15" i="35"/>
  <c r="V15" i="35" s="1"/>
  <c r="W14" i="35"/>
  <c r="U14" i="35"/>
  <c r="R14" i="35"/>
  <c r="V14" i="35" s="1"/>
  <c r="W13" i="35"/>
  <c r="U13" i="35"/>
  <c r="R13" i="35"/>
  <c r="V13" i="35" s="1"/>
  <c r="W12" i="35"/>
  <c r="U12" i="35"/>
  <c r="R12" i="35"/>
  <c r="V12" i="35" s="1"/>
  <c r="W11" i="35"/>
  <c r="U11" i="35"/>
  <c r="R11" i="35"/>
  <c r="V11" i="35" s="1"/>
  <c r="W10" i="35"/>
  <c r="U10" i="35"/>
  <c r="R10" i="35"/>
  <c r="V10" i="35" s="1"/>
  <c r="X9" i="35"/>
  <c r="U9" i="35"/>
  <c r="T9" i="35"/>
  <c r="S9" i="35"/>
  <c r="W9" i="35" s="1"/>
  <c r="R9" i="35"/>
  <c r="V9" i="35" s="1"/>
  <c r="X8" i="35"/>
  <c r="T8" i="35"/>
  <c r="W48" i="2"/>
  <c r="U48" i="2"/>
  <c r="V48" i="2"/>
  <c r="W47" i="2"/>
  <c r="U47" i="2"/>
  <c r="V47" i="2"/>
  <c r="W46" i="2"/>
  <c r="U46" i="2"/>
  <c r="V46" i="2"/>
  <c r="W45" i="2"/>
  <c r="U45" i="2"/>
  <c r="V45" i="2"/>
  <c r="X44" i="2"/>
  <c r="T44" i="2"/>
  <c r="S44" i="2"/>
  <c r="W44" i="2" s="1"/>
  <c r="Q44" i="2"/>
  <c r="V44" i="2" s="1"/>
  <c r="W42" i="2"/>
  <c r="U42" i="2"/>
  <c r="V42" i="2"/>
  <c r="S41" i="2"/>
  <c r="W41" i="2" s="1"/>
  <c r="V41" i="2"/>
  <c r="Q41" i="2"/>
  <c r="U41" i="2" s="1"/>
  <c r="W40" i="2"/>
  <c r="V40" i="2"/>
  <c r="U40" i="2"/>
  <c r="W39" i="2"/>
  <c r="Q39" i="2"/>
  <c r="U39" i="2" s="1"/>
  <c r="W38" i="2"/>
  <c r="U38" i="2"/>
  <c r="V38" i="2"/>
  <c r="W37" i="2"/>
  <c r="U37" i="2"/>
  <c r="V37" i="2"/>
  <c r="X36" i="2"/>
  <c r="T36" i="2"/>
  <c r="S36" i="2"/>
  <c r="W36" i="2" s="1"/>
  <c r="Q36" i="2"/>
  <c r="V36" i="2" s="1"/>
  <c r="W35" i="2"/>
  <c r="U35" i="2"/>
  <c r="V35" i="2"/>
  <c r="W34" i="2"/>
  <c r="U34" i="2"/>
  <c r="V34" i="2"/>
  <c r="W33" i="2"/>
  <c r="U33" i="2"/>
  <c r="V33" i="2"/>
  <c r="W32" i="2"/>
  <c r="U32" i="2"/>
  <c r="V32" i="2"/>
  <c r="W31" i="2"/>
  <c r="V31" i="2"/>
  <c r="U31" i="2"/>
  <c r="W30" i="2"/>
  <c r="V30" i="2"/>
  <c r="U30" i="2"/>
  <c r="W29" i="2"/>
  <c r="V29" i="2"/>
  <c r="U29" i="2"/>
  <c r="W28" i="2"/>
  <c r="V28" i="2"/>
  <c r="U28" i="2"/>
  <c r="U27" i="2"/>
  <c r="V27" i="2"/>
  <c r="X26" i="2"/>
  <c r="T26" i="2"/>
  <c r="S26" i="2"/>
  <c r="W26" i="2" s="1"/>
  <c r="V26" i="2"/>
  <c r="Q26" i="2"/>
  <c r="W25" i="2"/>
  <c r="U25" i="2"/>
  <c r="V25" i="2"/>
  <c r="W24" i="2"/>
  <c r="U24" i="2"/>
  <c r="V24" i="2"/>
  <c r="W23" i="2"/>
  <c r="U23" i="2"/>
  <c r="V23" i="2"/>
  <c r="W22" i="2"/>
  <c r="U22" i="2"/>
  <c r="V22" i="2"/>
  <c r="W21" i="2"/>
  <c r="S21" i="2"/>
  <c r="V21" i="2"/>
  <c r="Q21" i="2"/>
  <c r="U21" i="2" s="1"/>
  <c r="U20" i="2"/>
  <c r="X19" i="2"/>
  <c r="T19" i="2"/>
  <c r="S19" i="2"/>
  <c r="W18" i="2"/>
  <c r="U18" i="2"/>
  <c r="V18" i="2"/>
  <c r="W17" i="2"/>
  <c r="U17" i="2"/>
  <c r="V17" i="2"/>
  <c r="X16" i="2"/>
  <c r="T16" i="2"/>
  <c r="S16" i="2"/>
  <c r="W16" i="2" s="1"/>
  <c r="Q16" i="2"/>
  <c r="U16" i="2" s="1"/>
  <c r="W15" i="2"/>
  <c r="U15" i="2"/>
  <c r="V15" i="2"/>
  <c r="W14" i="2"/>
  <c r="U14" i="2"/>
  <c r="W13" i="2"/>
  <c r="U13" i="2"/>
  <c r="W12" i="2"/>
  <c r="V12" i="2"/>
  <c r="U12" i="2"/>
  <c r="W11" i="2"/>
  <c r="V11" i="2"/>
  <c r="U11" i="2"/>
  <c r="W10" i="2"/>
  <c r="V10" i="2"/>
  <c r="U10" i="2"/>
  <c r="T9" i="2"/>
  <c r="S9" i="2"/>
  <c r="W9" i="2" s="1"/>
  <c r="U9" i="2"/>
  <c r="X8" i="2"/>
  <c r="X43" i="2" s="1"/>
  <c r="X49" i="2" s="1"/>
  <c r="T8" i="2"/>
  <c r="T43" i="2" s="1"/>
  <c r="T49" i="2" s="1"/>
  <c r="S8" i="2"/>
  <c r="Q8" i="2"/>
  <c r="U8" i="2" s="1"/>
  <c r="W65" i="3"/>
  <c r="U65" i="3"/>
  <c r="V65" i="3"/>
  <c r="W64" i="3"/>
  <c r="U64" i="3"/>
  <c r="V64" i="3"/>
  <c r="W63" i="3"/>
  <c r="U63" i="3"/>
  <c r="V63" i="3"/>
  <c r="X62" i="3"/>
  <c r="T62" i="3"/>
  <c r="S62" i="3"/>
  <c r="W62" i="3" s="1"/>
  <c r="Q62" i="3"/>
  <c r="V62" i="3" s="1"/>
  <c r="W60" i="3"/>
  <c r="U60" i="3"/>
  <c r="V60" i="3"/>
  <c r="W59" i="3"/>
  <c r="V59" i="3"/>
  <c r="Q59" i="3"/>
  <c r="U59" i="3" s="1"/>
  <c r="W58" i="3"/>
  <c r="U58" i="3"/>
  <c r="V58" i="3"/>
  <c r="W57" i="3"/>
  <c r="U57" i="3"/>
  <c r="V57" i="3"/>
  <c r="S56" i="3"/>
  <c r="W56" i="3" s="1"/>
  <c r="Q56" i="3"/>
  <c r="U56" i="3" s="1"/>
  <c r="W55" i="3"/>
  <c r="U55" i="3"/>
  <c r="W54" i="3"/>
  <c r="V54" i="3"/>
  <c r="U54" i="3"/>
  <c r="W53" i="3"/>
  <c r="U53" i="3"/>
  <c r="V53" i="3"/>
  <c r="W52" i="3"/>
  <c r="U52" i="3"/>
  <c r="V52" i="3"/>
  <c r="W51" i="3"/>
  <c r="V51" i="3"/>
  <c r="U51" i="3"/>
  <c r="X50" i="3"/>
  <c r="T50" i="3"/>
  <c r="S50" i="3"/>
  <c r="W50" i="3" s="1"/>
  <c r="W49" i="3"/>
  <c r="U49" i="3"/>
  <c r="W48" i="3"/>
  <c r="U48" i="3"/>
  <c r="W47" i="3"/>
  <c r="U47" i="3"/>
  <c r="V47" i="3"/>
  <c r="W46" i="3"/>
  <c r="U46" i="3"/>
  <c r="V46" i="3"/>
  <c r="W45" i="3"/>
  <c r="U45" i="3"/>
  <c r="V45" i="3"/>
  <c r="X44" i="3"/>
  <c r="T44" i="3"/>
  <c r="S44" i="3"/>
  <c r="W44" i="3" s="1"/>
  <c r="W43" i="3"/>
  <c r="U43" i="3"/>
  <c r="V43" i="3"/>
  <c r="W42" i="3"/>
  <c r="U42" i="3"/>
  <c r="V42" i="3"/>
  <c r="X41" i="3"/>
  <c r="T41" i="3"/>
  <c r="S41" i="3"/>
  <c r="W41" i="3" s="1"/>
  <c r="Q41" i="3"/>
  <c r="V41" i="3" s="1"/>
  <c r="W40" i="3"/>
  <c r="U40" i="3"/>
  <c r="V40" i="3"/>
  <c r="W39" i="3"/>
  <c r="U39" i="3"/>
  <c r="V39" i="3"/>
  <c r="W38" i="3"/>
  <c r="U38" i="3"/>
  <c r="V38" i="3"/>
  <c r="X37" i="3"/>
  <c r="X21" i="3" s="1"/>
  <c r="T37" i="3"/>
  <c r="T21" i="3" s="1"/>
  <c r="S37" i="3"/>
  <c r="W37" i="3" s="1"/>
  <c r="Q37" i="3"/>
  <c r="U37" i="3" s="1"/>
  <c r="W36" i="3"/>
  <c r="V36" i="3"/>
  <c r="U36" i="3"/>
  <c r="W35" i="3"/>
  <c r="U35" i="3"/>
  <c r="W34" i="3"/>
  <c r="V34" i="3"/>
  <c r="U34" i="3"/>
  <c r="W33" i="3"/>
  <c r="V33" i="3"/>
  <c r="U33" i="3"/>
  <c r="W32" i="3"/>
  <c r="U32" i="3"/>
  <c r="V32" i="3"/>
  <c r="W31" i="3"/>
  <c r="U31" i="3"/>
  <c r="V31" i="3"/>
  <c r="W30" i="3"/>
  <c r="V30" i="3"/>
  <c r="U30" i="3"/>
  <c r="W29" i="3"/>
  <c r="V29" i="3"/>
  <c r="U29" i="3"/>
  <c r="S28" i="3"/>
  <c r="Q28" i="3"/>
  <c r="U28" i="3" s="1"/>
  <c r="W27" i="3"/>
  <c r="U27" i="3"/>
  <c r="V27" i="3"/>
  <c r="W26" i="3"/>
  <c r="U26" i="3"/>
  <c r="V26" i="3"/>
  <c r="U25" i="3"/>
  <c r="S25" i="3"/>
  <c r="W25" i="3" s="1"/>
  <c r="V25" i="3"/>
  <c r="Q25" i="3"/>
  <c r="W24" i="3"/>
  <c r="U24" i="3"/>
  <c r="V24" i="3"/>
  <c r="W23" i="3"/>
  <c r="U23" i="3"/>
  <c r="S22" i="3"/>
  <c r="W22" i="3" s="1"/>
  <c r="W20" i="3"/>
  <c r="V20" i="3"/>
  <c r="U20" i="3"/>
  <c r="W19" i="3"/>
  <c r="V19" i="3"/>
  <c r="U19" i="3"/>
  <c r="W18" i="3"/>
  <c r="V18" i="3"/>
  <c r="U18" i="3"/>
  <c r="W17" i="3"/>
  <c r="V17" i="3"/>
  <c r="U17" i="3"/>
  <c r="X16" i="3"/>
  <c r="T16" i="3"/>
  <c r="S16" i="3"/>
  <c r="Q16" i="3"/>
  <c r="V16" i="3" s="1"/>
  <c r="W15" i="3"/>
  <c r="U15" i="3"/>
  <c r="V15" i="3"/>
  <c r="W14" i="3"/>
  <c r="V14" i="3"/>
  <c r="U14" i="3"/>
  <c r="W13" i="3"/>
  <c r="V13" i="3"/>
  <c r="U13" i="3"/>
  <c r="W12" i="3"/>
  <c r="V12" i="3"/>
  <c r="U12" i="3"/>
  <c r="W11" i="3"/>
  <c r="U11" i="3"/>
  <c r="V11" i="3"/>
  <c r="W10" i="3"/>
  <c r="U10" i="3"/>
  <c r="V10" i="3"/>
  <c r="X9" i="3"/>
  <c r="X8" i="3" s="1"/>
  <c r="X61" i="3" s="1"/>
  <c r="X66" i="3" s="1"/>
  <c r="T9" i="3"/>
  <c r="S9" i="3"/>
  <c r="W9" i="3" s="1"/>
  <c r="U9" i="3"/>
  <c r="T8" i="3"/>
  <c r="R47" i="6"/>
  <c r="O46" i="6"/>
  <c r="N46" i="6"/>
  <c r="P45" i="6"/>
  <c r="O45" i="6"/>
  <c r="N45" i="6"/>
  <c r="P44" i="6"/>
  <c r="O44" i="6"/>
  <c r="N44" i="6"/>
  <c r="N43" i="6"/>
  <c r="N42" i="6" s="1"/>
  <c r="P41" i="6"/>
  <c r="O41" i="6"/>
  <c r="N41" i="6"/>
  <c r="P40" i="6"/>
  <c r="O40" i="6"/>
  <c r="N40" i="6"/>
  <c r="N39" i="6"/>
  <c r="N38" i="6"/>
  <c r="N37" i="6"/>
  <c r="P36" i="6"/>
  <c r="O36" i="6"/>
  <c r="N36" i="6"/>
  <c r="N35" i="6"/>
  <c r="P33" i="6"/>
  <c r="O33" i="6"/>
  <c r="N33" i="6"/>
  <c r="P32" i="6"/>
  <c r="P30" i="6" s="1"/>
  <c r="O32" i="6"/>
  <c r="N32" i="6"/>
  <c r="P31" i="6"/>
  <c r="O31" i="6"/>
  <c r="N31" i="6"/>
  <c r="Q30" i="6"/>
  <c r="Q47" i="6" s="1"/>
  <c r="O30" i="6"/>
  <c r="N30" i="6"/>
  <c r="Q25" i="6"/>
  <c r="N24" i="6"/>
  <c r="P23" i="6"/>
  <c r="O23" i="6"/>
  <c r="N23" i="6"/>
  <c r="N22" i="6" s="1"/>
  <c r="N25" i="6" s="1"/>
  <c r="R21" i="6"/>
  <c r="R25" i="6" s="1"/>
  <c r="P20" i="6"/>
  <c r="P19" i="6" s="1"/>
  <c r="O19" i="6"/>
  <c r="N19" i="6"/>
  <c r="P18" i="6"/>
  <c r="O18" i="6"/>
  <c r="N18" i="6"/>
  <c r="P17" i="6"/>
  <c r="O17" i="6"/>
  <c r="O12" i="6" s="1"/>
  <c r="N17" i="6"/>
  <c r="P16" i="6"/>
  <c r="P15" i="6"/>
  <c r="P14" i="6"/>
  <c r="P12" i="6" s="1"/>
  <c r="O14" i="6"/>
  <c r="N14" i="6"/>
  <c r="P13" i="6"/>
  <c r="N12" i="6"/>
  <c r="P11" i="6"/>
  <c r="O11" i="6"/>
  <c r="O10" i="6" s="1"/>
  <c r="N11" i="6"/>
  <c r="P10" i="6"/>
  <c r="N10" i="6"/>
  <c r="N21" i="6" s="1"/>
  <c r="P9" i="6"/>
  <c r="O9" i="6"/>
  <c r="O8" i="6" s="1"/>
  <c r="N9" i="6"/>
  <c r="R8" i="6"/>
  <c r="Q8" i="6"/>
  <c r="P8" i="6"/>
  <c r="N8" i="6"/>
  <c r="O47" i="21"/>
  <c r="P47" i="21" s="1"/>
  <c r="P46" i="6" s="1"/>
  <c r="P46" i="21"/>
  <c r="O46" i="21"/>
  <c r="O45" i="21"/>
  <c r="P45" i="21" s="1"/>
  <c r="P44" i="21"/>
  <c r="P43" i="6" s="1"/>
  <c r="O44" i="21"/>
  <c r="O43" i="6" s="1"/>
  <c r="N43" i="21"/>
  <c r="O43" i="21" s="1"/>
  <c r="P43" i="21" s="1"/>
  <c r="O42" i="21"/>
  <c r="P42" i="21" s="1"/>
  <c r="R41" i="21"/>
  <c r="R48" i="21" s="1"/>
  <c r="Q41" i="21"/>
  <c r="Q48" i="21" s="1"/>
  <c r="N41" i="21"/>
  <c r="O41" i="21" s="1"/>
  <c r="P41" i="21" s="1"/>
  <c r="O40" i="21"/>
  <c r="P40" i="21" s="1"/>
  <c r="P39" i="6" s="1"/>
  <c r="O39" i="21"/>
  <c r="P39" i="21" s="1"/>
  <c r="P38" i="6" s="1"/>
  <c r="O38" i="21"/>
  <c r="P38" i="21" s="1"/>
  <c r="P37" i="6" s="1"/>
  <c r="P37" i="21"/>
  <c r="O37" i="21"/>
  <c r="O36" i="21"/>
  <c r="P36" i="21" s="1"/>
  <c r="P35" i="6" s="1"/>
  <c r="O34" i="21"/>
  <c r="P34" i="21" s="1"/>
  <c r="O33" i="21"/>
  <c r="P33" i="21" s="1"/>
  <c r="O32" i="21"/>
  <c r="P32" i="21" s="1"/>
  <c r="Q31" i="21"/>
  <c r="N31" i="21"/>
  <c r="Q26" i="21"/>
  <c r="O25" i="21"/>
  <c r="P25" i="21" s="1"/>
  <c r="P24" i="6" s="1"/>
  <c r="P22" i="6" s="1"/>
  <c r="O24" i="21"/>
  <c r="P24" i="21" s="1"/>
  <c r="N23" i="21"/>
  <c r="O23" i="21" s="1"/>
  <c r="P23" i="21" s="1"/>
  <c r="R22" i="21"/>
  <c r="R26" i="21" s="1"/>
  <c r="O21" i="21"/>
  <c r="P21" i="21" s="1"/>
  <c r="O20" i="21"/>
  <c r="P20" i="21" s="1"/>
  <c r="N20" i="21"/>
  <c r="O19" i="21"/>
  <c r="P19" i="21" s="1"/>
  <c r="P18" i="21"/>
  <c r="O18" i="21"/>
  <c r="O17" i="21"/>
  <c r="P17" i="21" s="1"/>
  <c r="P16" i="21"/>
  <c r="O16" i="21"/>
  <c r="O15" i="21"/>
  <c r="P15" i="21" s="1"/>
  <c r="P14" i="21"/>
  <c r="O14" i="21"/>
  <c r="N13" i="21"/>
  <c r="O13" i="21" s="1"/>
  <c r="P13" i="21" s="1"/>
  <c r="O12" i="21"/>
  <c r="P12" i="21" s="1"/>
  <c r="O11" i="21"/>
  <c r="P11" i="21" s="1"/>
  <c r="N11" i="21"/>
  <c r="O10" i="21"/>
  <c r="P10" i="21" s="1"/>
  <c r="R9" i="21"/>
  <c r="Q9" i="21"/>
  <c r="N9" i="21"/>
  <c r="O9" i="21" s="1"/>
  <c r="P9" i="21" s="1"/>
  <c r="O47" i="22"/>
  <c r="P47" i="22" s="1"/>
  <c r="O46" i="22"/>
  <c r="P46" i="22" s="1"/>
  <c r="O45" i="22"/>
  <c r="P45" i="22" s="1"/>
  <c r="O44" i="22"/>
  <c r="P44" i="22" s="1"/>
  <c r="O43" i="22"/>
  <c r="P43" i="22" s="1"/>
  <c r="N43" i="22"/>
  <c r="P42" i="22"/>
  <c r="O42" i="22"/>
  <c r="R41" i="22"/>
  <c r="R48" i="22" s="1"/>
  <c r="Q41" i="22"/>
  <c r="N41" i="22"/>
  <c r="O41" i="22" s="1"/>
  <c r="P41" i="22" s="1"/>
  <c r="O40" i="22"/>
  <c r="P40" i="22" s="1"/>
  <c r="O39" i="22"/>
  <c r="P39" i="22" s="1"/>
  <c r="O38" i="22"/>
  <c r="P38" i="22" s="1"/>
  <c r="O37" i="22"/>
  <c r="P37" i="22" s="1"/>
  <c r="O36" i="22"/>
  <c r="P36" i="22" s="1"/>
  <c r="O35" i="22"/>
  <c r="P35" i="22" s="1"/>
  <c r="N35" i="22"/>
  <c r="P34" i="22"/>
  <c r="O34" i="22"/>
  <c r="O33" i="22"/>
  <c r="P33" i="22" s="1"/>
  <c r="O32" i="22"/>
  <c r="P32" i="22" s="1"/>
  <c r="Q31" i="22"/>
  <c r="Q48" i="22" s="1"/>
  <c r="O31" i="22"/>
  <c r="P31" i="22" s="1"/>
  <c r="N31" i="22"/>
  <c r="N48" i="22" s="1"/>
  <c r="O48" i="22" s="1"/>
  <c r="P48" i="22" s="1"/>
  <c r="Q26" i="22"/>
  <c r="O25" i="22"/>
  <c r="P25" i="22" s="1"/>
  <c r="O24" i="22"/>
  <c r="P24" i="22" s="1"/>
  <c r="O23" i="22"/>
  <c r="P23" i="22" s="1"/>
  <c r="N23" i="22"/>
  <c r="R22" i="22"/>
  <c r="R26" i="22" s="1"/>
  <c r="P21" i="22"/>
  <c r="O21" i="22"/>
  <c r="N20" i="22"/>
  <c r="O20" i="22" s="1"/>
  <c r="P20" i="22" s="1"/>
  <c r="O19" i="22"/>
  <c r="P19" i="22" s="1"/>
  <c r="O18" i="22"/>
  <c r="P18" i="22" s="1"/>
  <c r="O17" i="22"/>
  <c r="P17" i="22" s="1"/>
  <c r="O16" i="22"/>
  <c r="P16" i="22" s="1"/>
  <c r="O15" i="22"/>
  <c r="P15" i="22" s="1"/>
  <c r="O14" i="22"/>
  <c r="P14" i="22" s="1"/>
  <c r="O13" i="22"/>
  <c r="P13" i="22" s="1"/>
  <c r="N13" i="22"/>
  <c r="P12" i="22"/>
  <c r="O12" i="22"/>
  <c r="N11" i="22"/>
  <c r="N22" i="22" s="1"/>
  <c r="O10" i="22"/>
  <c r="P10" i="22" s="1"/>
  <c r="R9" i="22"/>
  <c r="Q9" i="22"/>
  <c r="O9" i="22"/>
  <c r="P9" i="22" s="1"/>
  <c r="N9" i="22"/>
  <c r="R47" i="20"/>
  <c r="M47" i="20"/>
  <c r="H47" i="20"/>
  <c r="J46" i="20"/>
  <c r="O46" i="20" s="1"/>
  <c r="P46" i="20" s="1"/>
  <c r="J45" i="20"/>
  <c r="O45" i="20" s="1"/>
  <c r="P45" i="20" s="1"/>
  <c r="J44" i="20"/>
  <c r="O44" i="20" s="1"/>
  <c r="P44" i="20" s="1"/>
  <c r="J43" i="20"/>
  <c r="O43" i="20" s="1"/>
  <c r="P43" i="20" s="1"/>
  <c r="N42" i="20"/>
  <c r="I42" i="20"/>
  <c r="F42" i="20"/>
  <c r="E42" i="20"/>
  <c r="J42" i="20" s="1"/>
  <c r="D42" i="20"/>
  <c r="C42" i="20"/>
  <c r="O41" i="20"/>
  <c r="P41" i="20" s="1"/>
  <c r="J41" i="20"/>
  <c r="K41" i="20" s="1"/>
  <c r="O40" i="20"/>
  <c r="P40" i="20" s="1"/>
  <c r="J40" i="20"/>
  <c r="K40" i="20" s="1"/>
  <c r="O39" i="20"/>
  <c r="P39" i="20" s="1"/>
  <c r="J39" i="20"/>
  <c r="K39" i="20" s="1"/>
  <c r="O38" i="20"/>
  <c r="P38" i="20" s="1"/>
  <c r="J38" i="20"/>
  <c r="K38" i="20" s="1"/>
  <c r="O37" i="20"/>
  <c r="P37" i="20" s="1"/>
  <c r="J37" i="20"/>
  <c r="K37" i="20" s="1"/>
  <c r="J36" i="20"/>
  <c r="O36" i="20" s="1"/>
  <c r="P36" i="20" s="1"/>
  <c r="J35" i="20"/>
  <c r="O35" i="20" s="1"/>
  <c r="P35" i="20" s="1"/>
  <c r="N34" i="20"/>
  <c r="J34" i="20"/>
  <c r="I34" i="20"/>
  <c r="F34" i="20"/>
  <c r="E34" i="20"/>
  <c r="D34" i="20"/>
  <c r="C34" i="20"/>
  <c r="O33" i="20"/>
  <c r="P33" i="20" s="1"/>
  <c r="K33" i="20"/>
  <c r="J33" i="20"/>
  <c r="O32" i="20"/>
  <c r="P32" i="20" s="1"/>
  <c r="K32" i="20"/>
  <c r="J32" i="20"/>
  <c r="N31" i="20"/>
  <c r="N30" i="20" s="1"/>
  <c r="I31" i="20"/>
  <c r="J31" i="20" s="1"/>
  <c r="Q30" i="20"/>
  <c r="Q47" i="20" s="1"/>
  <c r="L30" i="20"/>
  <c r="L47" i="20" s="1"/>
  <c r="I30" i="20"/>
  <c r="I47" i="20" s="1"/>
  <c r="G30" i="20"/>
  <c r="G47" i="20" s="1"/>
  <c r="F30" i="20"/>
  <c r="F47" i="20" s="1"/>
  <c r="E30" i="20"/>
  <c r="E47" i="20" s="1"/>
  <c r="D30" i="20"/>
  <c r="D47" i="20" s="1"/>
  <c r="C30" i="20"/>
  <c r="C47" i="20" s="1"/>
  <c r="O28" i="20"/>
  <c r="N28" i="20"/>
  <c r="J28" i="20"/>
  <c r="I28" i="20"/>
  <c r="E28" i="20"/>
  <c r="D28" i="20"/>
  <c r="C28" i="20"/>
  <c r="R25" i="20"/>
  <c r="Q25" i="20"/>
  <c r="L25" i="20"/>
  <c r="G25" i="20"/>
  <c r="N22" i="20"/>
  <c r="O23" i="20"/>
  <c r="P23" i="20" s="1"/>
  <c r="J23" i="20"/>
  <c r="K23" i="20" s="1"/>
  <c r="I22" i="20"/>
  <c r="D22" i="20"/>
  <c r="C22" i="20"/>
  <c r="R21" i="20"/>
  <c r="M21" i="20"/>
  <c r="M25" i="20" s="1"/>
  <c r="I21" i="20"/>
  <c r="I25" i="20" s="1"/>
  <c r="H21" i="20"/>
  <c r="H25" i="20" s="1"/>
  <c r="K20" i="20"/>
  <c r="J20" i="20"/>
  <c r="O20" i="20" s="1"/>
  <c r="P20" i="20" s="1"/>
  <c r="N19" i="20"/>
  <c r="J19" i="20"/>
  <c r="K19" i="20" s="1"/>
  <c r="I19" i="20"/>
  <c r="F19" i="20"/>
  <c r="E19" i="20"/>
  <c r="D19" i="20"/>
  <c r="C19" i="20"/>
  <c r="P18" i="20"/>
  <c r="O18" i="20"/>
  <c r="K18" i="20"/>
  <c r="J18" i="20"/>
  <c r="P17" i="20"/>
  <c r="O17" i="20"/>
  <c r="K17" i="20"/>
  <c r="J17" i="20"/>
  <c r="P16" i="20"/>
  <c r="O16" i="20"/>
  <c r="K16" i="20"/>
  <c r="J16" i="20"/>
  <c r="P15" i="20"/>
  <c r="O15" i="20"/>
  <c r="K15" i="20"/>
  <c r="J15" i="20"/>
  <c r="P14" i="20"/>
  <c r="O14" i="20"/>
  <c r="K14" i="20"/>
  <c r="J14" i="20"/>
  <c r="P13" i="20"/>
  <c r="O13" i="20"/>
  <c r="K13" i="20"/>
  <c r="J13" i="20"/>
  <c r="N12" i="20"/>
  <c r="J12" i="20"/>
  <c r="O12" i="20" s="1"/>
  <c r="P12" i="20" s="1"/>
  <c r="I12" i="20"/>
  <c r="F12" i="20"/>
  <c r="E12" i="20"/>
  <c r="D12" i="20"/>
  <c r="D21" i="20" s="1"/>
  <c r="D25" i="20" s="1"/>
  <c r="C12" i="20"/>
  <c r="K11" i="20"/>
  <c r="J11" i="20"/>
  <c r="O11" i="20" s="1"/>
  <c r="P11" i="20" s="1"/>
  <c r="R10" i="20"/>
  <c r="Q10" i="20"/>
  <c r="N10" i="20"/>
  <c r="M10" i="20"/>
  <c r="L10" i="20"/>
  <c r="J10" i="20"/>
  <c r="O10" i="20" s="1"/>
  <c r="P10" i="20" s="1"/>
  <c r="I10" i="20"/>
  <c r="H10" i="20"/>
  <c r="G10" i="20"/>
  <c r="F10" i="20"/>
  <c r="E10" i="20"/>
  <c r="C10" i="20"/>
  <c r="J9" i="20"/>
  <c r="O9" i="20" s="1"/>
  <c r="P9" i="20" s="1"/>
  <c r="N8" i="20"/>
  <c r="Q8" i="34" s="1"/>
  <c r="I8" i="20"/>
  <c r="F8" i="20"/>
  <c r="F21" i="20" s="1"/>
  <c r="E8" i="20"/>
  <c r="J8" i="20" s="1"/>
  <c r="D8" i="20"/>
  <c r="C8" i="20"/>
  <c r="C21" i="20" s="1"/>
  <c r="Q19" i="2" l="1"/>
  <c r="O35" i="6"/>
  <c r="N21" i="20"/>
  <c r="S43" i="2"/>
  <c r="S49" i="2" s="1"/>
  <c r="U19" i="2"/>
  <c r="Q19" i="34"/>
  <c r="R19" i="34" s="1"/>
  <c r="U26" i="2"/>
  <c r="Q26" i="34"/>
  <c r="I28" i="8"/>
  <c r="V9" i="34"/>
  <c r="U39" i="34"/>
  <c r="V19" i="2"/>
  <c r="U16" i="34"/>
  <c r="V13" i="2"/>
  <c r="S21" i="3"/>
  <c r="W21" i="3" s="1"/>
  <c r="W28" i="3"/>
  <c r="S8" i="3"/>
  <c r="O24" i="6"/>
  <c r="O22" i="6" s="1"/>
  <c r="O42" i="6"/>
  <c r="P42" i="6"/>
  <c r="O39" i="6"/>
  <c r="N34" i="6"/>
  <c r="N47" i="6" s="1"/>
  <c r="O38" i="6"/>
  <c r="P34" i="6"/>
  <c r="P47" i="6" s="1"/>
  <c r="O37" i="6"/>
  <c r="O34" i="6" s="1"/>
  <c r="O47" i="6" s="1"/>
  <c r="N47" i="20"/>
  <c r="O34" i="20"/>
  <c r="P34" i="20" s="1"/>
  <c r="N25" i="20"/>
  <c r="R16" i="8"/>
  <c r="Q29" i="8"/>
  <c r="R45" i="8"/>
  <c r="Q56" i="8"/>
  <c r="R62" i="8"/>
  <c r="R10" i="8"/>
  <c r="R31" i="8"/>
  <c r="R44" i="8"/>
  <c r="H37" i="8"/>
  <c r="H29" i="8"/>
  <c r="H38" i="8" s="1"/>
  <c r="H69" i="8" s="1"/>
  <c r="I10" i="8"/>
  <c r="I16" i="8" s="1"/>
  <c r="I29" i="8" s="1"/>
  <c r="I32" i="8"/>
  <c r="I31" i="8" s="1"/>
  <c r="I37" i="8" s="1"/>
  <c r="I42" i="8"/>
  <c r="I45" i="8" s="1"/>
  <c r="I56" i="8" s="1"/>
  <c r="I68" i="8" s="1"/>
  <c r="R16" i="34"/>
  <c r="V16" i="34" s="1"/>
  <c r="R39" i="34"/>
  <c r="V39" i="34" s="1"/>
  <c r="X62" i="35"/>
  <c r="U50" i="35"/>
  <c r="U57" i="35"/>
  <c r="R60" i="35"/>
  <c r="V60" i="35" s="1"/>
  <c r="T62" i="35"/>
  <c r="V16" i="2"/>
  <c r="V8" i="2"/>
  <c r="Q43" i="2"/>
  <c r="Q49" i="2" s="1"/>
  <c r="U49" i="2" s="1"/>
  <c r="V9" i="2"/>
  <c r="V14" i="2"/>
  <c r="U44" i="2"/>
  <c r="W8" i="2"/>
  <c r="U36" i="2"/>
  <c r="V39" i="2"/>
  <c r="V56" i="3"/>
  <c r="V9" i="3"/>
  <c r="V28" i="3"/>
  <c r="V35" i="3"/>
  <c r="T61" i="3"/>
  <c r="T66" i="3" s="1"/>
  <c r="U41" i="3"/>
  <c r="Q44" i="3"/>
  <c r="Q44" i="35" s="1"/>
  <c r="U62" i="3"/>
  <c r="Q8" i="3"/>
  <c r="Q8" i="35" s="1"/>
  <c r="V8" i="35" s="1"/>
  <c r="V23" i="3"/>
  <c r="V37" i="3"/>
  <c r="V48" i="3"/>
  <c r="V55" i="3"/>
  <c r="W16" i="3"/>
  <c r="U16" i="3"/>
  <c r="Q22" i="3"/>
  <c r="Q50" i="3"/>
  <c r="O21" i="6"/>
  <c r="O25" i="6" s="1"/>
  <c r="P21" i="6"/>
  <c r="P25" i="6" s="1"/>
  <c r="N35" i="21"/>
  <c r="O35" i="21" s="1"/>
  <c r="P35" i="21" s="1"/>
  <c r="N22" i="21"/>
  <c r="O31" i="21"/>
  <c r="P31" i="21" s="1"/>
  <c r="N26" i="22"/>
  <c r="O26" i="22" s="1"/>
  <c r="P26" i="22" s="1"/>
  <c r="O22" i="22"/>
  <c r="P22" i="22" s="1"/>
  <c r="O11" i="22"/>
  <c r="P11" i="22" s="1"/>
  <c r="J47" i="20"/>
  <c r="O42" i="20"/>
  <c r="P42" i="20" s="1"/>
  <c r="K42" i="20"/>
  <c r="C25" i="20"/>
  <c r="F24" i="20"/>
  <c r="F22" i="20" s="1"/>
  <c r="F25" i="20"/>
  <c r="K8" i="20"/>
  <c r="O8" i="20"/>
  <c r="P8" i="20" s="1"/>
  <c r="K31" i="20"/>
  <c r="O31" i="20"/>
  <c r="P31" i="20" s="1"/>
  <c r="K9" i="20"/>
  <c r="K12" i="20"/>
  <c r="O19" i="20"/>
  <c r="P19" i="20" s="1"/>
  <c r="E21" i="20"/>
  <c r="K34" i="20"/>
  <c r="K43" i="20"/>
  <c r="K44" i="20"/>
  <c r="K45" i="20"/>
  <c r="K46" i="20"/>
  <c r="J30" i="20"/>
  <c r="K35" i="20"/>
  <c r="K36" i="20"/>
  <c r="K10" i="20"/>
  <c r="V26" i="34" l="1"/>
  <c r="Q49" i="34"/>
  <c r="S61" i="3"/>
  <c r="S66" i="3" s="1"/>
  <c r="W66" i="3" s="1"/>
  <c r="R41" i="34"/>
  <c r="V41" i="34" s="1"/>
  <c r="U41" i="34"/>
  <c r="U26" i="34"/>
  <c r="U19" i="34"/>
  <c r="V19" i="34"/>
  <c r="V49" i="2"/>
  <c r="R8" i="34"/>
  <c r="V8" i="34" s="1"/>
  <c r="U8" i="34"/>
  <c r="W8" i="3"/>
  <c r="R51" i="35"/>
  <c r="V51" i="35" s="1"/>
  <c r="U51" i="35"/>
  <c r="R44" i="35"/>
  <c r="V44" i="35" s="1"/>
  <c r="U44" i="35"/>
  <c r="U8" i="35"/>
  <c r="R56" i="8"/>
  <c r="Q68" i="8"/>
  <c r="R68" i="8" s="1"/>
  <c r="R29" i="8"/>
  <c r="Q38" i="8"/>
  <c r="I38" i="8"/>
  <c r="I69" i="8" s="1"/>
  <c r="U44" i="34"/>
  <c r="R44" i="34"/>
  <c r="V44" i="34" s="1"/>
  <c r="U43" i="2"/>
  <c r="Q21" i="3"/>
  <c r="Q21" i="35" s="1"/>
  <c r="U22" i="3"/>
  <c r="V44" i="3"/>
  <c r="U44" i="3"/>
  <c r="V50" i="3"/>
  <c r="U50" i="3"/>
  <c r="U8" i="3"/>
  <c r="N26" i="21"/>
  <c r="O26" i="21" s="1"/>
  <c r="P26" i="21" s="1"/>
  <c r="O22" i="21"/>
  <c r="P22" i="21" s="1"/>
  <c r="N48" i="21"/>
  <c r="O48" i="21" s="1"/>
  <c r="P48" i="21" s="1"/>
  <c r="J21" i="20"/>
  <c r="E24" i="20"/>
  <c r="K30" i="20"/>
  <c r="O30" i="20"/>
  <c r="P30" i="20" s="1"/>
  <c r="O47" i="20"/>
  <c r="P47" i="20" s="1"/>
  <c r="K47" i="20"/>
  <c r="W61" i="3" l="1"/>
  <c r="V21" i="35"/>
  <c r="R67" i="35"/>
  <c r="V67" i="35" s="1"/>
  <c r="R49" i="34"/>
  <c r="V43" i="2"/>
  <c r="U21" i="3"/>
  <c r="Q61" i="3"/>
  <c r="Q69" i="8"/>
  <c r="R69" i="8" s="1"/>
  <c r="R38" i="8"/>
  <c r="V8" i="3"/>
  <c r="V21" i="3"/>
  <c r="V22" i="3"/>
  <c r="E22" i="20"/>
  <c r="J24" i="20"/>
  <c r="K21" i="20"/>
  <c r="O21" i="20"/>
  <c r="P21" i="20" s="1"/>
  <c r="U66" i="3" l="1"/>
  <c r="Q66" i="3"/>
  <c r="U61" i="3"/>
  <c r="U21" i="35"/>
  <c r="Q67" i="35"/>
  <c r="U67" i="35" s="1"/>
  <c r="V66" i="3"/>
  <c r="O24" i="20"/>
  <c r="P24" i="20" s="1"/>
  <c r="K24" i="20"/>
  <c r="J22" i="20"/>
  <c r="E25" i="20"/>
  <c r="J25" i="20" s="1"/>
  <c r="V61" i="3" l="1"/>
  <c r="O25" i="20"/>
  <c r="P25" i="20" s="1"/>
  <c r="K25" i="20"/>
  <c r="K22" i="20"/>
  <c r="O22" i="20"/>
  <c r="P22" i="20" s="1"/>
  <c r="M57" i="37" l="1"/>
  <c r="M53" i="37"/>
  <c r="M39" i="37"/>
  <c r="M29" i="37"/>
  <c r="M13" i="37"/>
  <c r="E58" i="37"/>
  <c r="M26" i="11"/>
  <c r="M25" i="11"/>
  <c r="M24" i="11"/>
  <c r="M23" i="11"/>
  <c r="M22" i="11"/>
  <c r="M21" i="11"/>
  <c r="M20" i="11"/>
  <c r="M19" i="11"/>
  <c r="M18" i="11"/>
  <c r="M17" i="11"/>
  <c r="M15" i="11"/>
  <c r="L12" i="11"/>
  <c r="G27" i="11"/>
  <c r="G26" i="11"/>
  <c r="G25" i="11"/>
  <c r="G24" i="11"/>
  <c r="G23" i="11"/>
  <c r="G22" i="11" s="1"/>
  <c r="F22" i="11"/>
  <c r="G21" i="11"/>
  <c r="G20" i="11"/>
  <c r="G19" i="11"/>
  <c r="G15" i="11"/>
  <c r="G14" i="11"/>
  <c r="G12" i="11"/>
  <c r="G11" i="11"/>
  <c r="G9" i="11"/>
  <c r="M32" i="12"/>
  <c r="L32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5" i="12"/>
  <c r="M14" i="12"/>
  <c r="M13" i="12"/>
  <c r="M12" i="12"/>
  <c r="M10" i="12"/>
  <c r="M8" i="12"/>
  <c r="L8" i="12"/>
  <c r="G28" i="12"/>
  <c r="G27" i="12"/>
  <c r="G26" i="12"/>
  <c r="G25" i="12"/>
  <c r="G24" i="12"/>
  <c r="G23" i="12"/>
  <c r="G22" i="12"/>
  <c r="G21" i="12"/>
  <c r="G20" i="12"/>
  <c r="G19" i="12"/>
  <c r="F17" i="12"/>
  <c r="F29" i="12" s="1"/>
  <c r="G15" i="12"/>
  <c r="G14" i="12"/>
  <c r="G13" i="12"/>
  <c r="G12" i="12"/>
  <c r="G11" i="12"/>
  <c r="G11" i="13"/>
  <c r="O95" i="36"/>
  <c r="C95" i="36"/>
  <c r="O94" i="36"/>
  <c r="N93" i="36"/>
  <c r="M93" i="36"/>
  <c r="L93" i="36"/>
  <c r="J93" i="36"/>
  <c r="I93" i="36"/>
  <c r="H93" i="36"/>
  <c r="G93" i="36"/>
  <c r="F93" i="36"/>
  <c r="E93" i="36"/>
  <c r="D93" i="36"/>
  <c r="C93" i="36"/>
  <c r="N92" i="36"/>
  <c r="M92" i="36"/>
  <c r="L92" i="36"/>
  <c r="J92" i="36"/>
  <c r="I92" i="36"/>
  <c r="H92" i="36"/>
  <c r="G92" i="36"/>
  <c r="F92" i="36"/>
  <c r="E92" i="36"/>
  <c r="D92" i="36"/>
  <c r="C92" i="36"/>
  <c r="N91" i="36"/>
  <c r="M91" i="36"/>
  <c r="L91" i="36"/>
  <c r="J91" i="36"/>
  <c r="I91" i="36"/>
  <c r="H91" i="36"/>
  <c r="G91" i="36"/>
  <c r="F91" i="36"/>
  <c r="E91" i="36"/>
  <c r="D91" i="36"/>
  <c r="C91" i="36"/>
  <c r="N90" i="36"/>
  <c r="M90" i="36"/>
  <c r="L90" i="36"/>
  <c r="J90" i="36"/>
  <c r="I90" i="36"/>
  <c r="H90" i="36"/>
  <c r="G90" i="36"/>
  <c r="F90" i="36"/>
  <c r="E90" i="36"/>
  <c r="D90" i="36"/>
  <c r="C90" i="36"/>
  <c r="O89" i="36"/>
  <c r="N88" i="36"/>
  <c r="M88" i="36"/>
  <c r="L88" i="36"/>
  <c r="K88" i="36"/>
  <c r="J88" i="36"/>
  <c r="I88" i="36"/>
  <c r="H88" i="36"/>
  <c r="G88" i="36"/>
  <c r="F88" i="36"/>
  <c r="E88" i="36"/>
  <c r="D88" i="36"/>
  <c r="C88" i="36"/>
  <c r="N87" i="36"/>
  <c r="M87" i="36"/>
  <c r="L87" i="36"/>
  <c r="J87" i="36"/>
  <c r="I87" i="36"/>
  <c r="H87" i="36"/>
  <c r="G87" i="36"/>
  <c r="F87" i="36"/>
  <c r="E87" i="36"/>
  <c r="D87" i="36"/>
  <c r="C87" i="36"/>
  <c r="N86" i="36"/>
  <c r="M86" i="36"/>
  <c r="L86" i="36"/>
  <c r="J86" i="36"/>
  <c r="I86" i="36"/>
  <c r="H86" i="36"/>
  <c r="G86" i="36"/>
  <c r="F86" i="36"/>
  <c r="E86" i="36"/>
  <c r="D86" i="36"/>
  <c r="C86" i="36"/>
  <c r="N85" i="36"/>
  <c r="M85" i="36"/>
  <c r="L85" i="36"/>
  <c r="K97" i="36"/>
  <c r="J85" i="36"/>
  <c r="I85" i="36"/>
  <c r="H85" i="36"/>
  <c r="H97" i="36" s="1"/>
  <c r="G85" i="36"/>
  <c r="F85" i="36"/>
  <c r="E85" i="36"/>
  <c r="D85" i="36"/>
  <c r="C85" i="36"/>
  <c r="O82" i="36"/>
  <c r="O81" i="36"/>
  <c r="N80" i="36"/>
  <c r="M80" i="36"/>
  <c r="L80" i="36"/>
  <c r="K80" i="36"/>
  <c r="K83" i="36" s="1"/>
  <c r="J80" i="36"/>
  <c r="I80" i="36"/>
  <c r="H80" i="36"/>
  <c r="G80" i="36"/>
  <c r="F80" i="36"/>
  <c r="E80" i="36"/>
  <c r="D80" i="36"/>
  <c r="C80" i="36"/>
  <c r="H79" i="36"/>
  <c r="E79" i="36"/>
  <c r="O78" i="36"/>
  <c r="O77" i="36"/>
  <c r="N76" i="36"/>
  <c r="M76" i="36"/>
  <c r="L76" i="36"/>
  <c r="J76" i="36"/>
  <c r="I76" i="36"/>
  <c r="H76" i="36"/>
  <c r="G76" i="36"/>
  <c r="F76" i="36"/>
  <c r="E76" i="36"/>
  <c r="D76" i="36"/>
  <c r="C76" i="36"/>
  <c r="N75" i="36"/>
  <c r="M75" i="36"/>
  <c r="L75" i="36"/>
  <c r="J75" i="36"/>
  <c r="I75" i="36"/>
  <c r="H75" i="36"/>
  <c r="G75" i="36"/>
  <c r="F75" i="36"/>
  <c r="E75" i="36"/>
  <c r="D75" i="36"/>
  <c r="C75" i="36"/>
  <c r="N74" i="36"/>
  <c r="M74" i="36"/>
  <c r="L74" i="36"/>
  <c r="J74" i="36"/>
  <c r="I74" i="36"/>
  <c r="H74" i="36"/>
  <c r="G74" i="36"/>
  <c r="F74" i="36"/>
  <c r="E74" i="36"/>
  <c r="D74" i="36"/>
  <c r="C74" i="36"/>
  <c r="C73" i="36"/>
  <c r="J34" i="19"/>
  <c r="J35" i="19" s="1"/>
  <c r="K35" i="19" s="1"/>
  <c r="K33" i="19"/>
  <c r="K32" i="19"/>
  <c r="K31" i="19"/>
  <c r="K30" i="19"/>
  <c r="K29" i="19"/>
  <c r="K28" i="19"/>
  <c r="K27" i="19"/>
  <c r="H24" i="31"/>
  <c r="I24" i="31" s="1"/>
  <c r="I23" i="31"/>
  <c r="I22" i="31"/>
  <c r="I21" i="31"/>
  <c r="I20" i="31"/>
  <c r="I19" i="31"/>
  <c r="I18" i="31"/>
  <c r="I17" i="31"/>
  <c r="I16" i="31"/>
  <c r="I15" i="31"/>
  <c r="I14" i="31"/>
  <c r="I13" i="31"/>
  <c r="I12" i="31"/>
  <c r="H11" i="31"/>
  <c r="I10" i="31"/>
  <c r="C8" i="37"/>
  <c r="O42" i="8"/>
  <c r="F12" i="8"/>
  <c r="I55" i="3"/>
  <c r="I54" i="3"/>
  <c r="J54" i="3" s="1"/>
  <c r="I52" i="3"/>
  <c r="J32" i="2"/>
  <c r="K38" i="37"/>
  <c r="K20" i="37"/>
  <c r="K19" i="37"/>
  <c r="K16" i="37"/>
  <c r="D9" i="12"/>
  <c r="J9" i="12"/>
  <c r="H59" i="36"/>
  <c r="H41" i="36"/>
  <c r="I49" i="3"/>
  <c r="D18" i="11"/>
  <c r="J14" i="11"/>
  <c r="J97" i="36" l="1"/>
  <c r="C97" i="36"/>
  <c r="H83" i="36"/>
  <c r="M83" i="36"/>
  <c r="E97" i="36"/>
  <c r="F83" i="36"/>
  <c r="O80" i="36"/>
  <c r="I83" i="36"/>
  <c r="N83" i="36"/>
  <c r="O92" i="36"/>
  <c r="G83" i="36"/>
  <c r="O75" i="36"/>
  <c r="O79" i="36"/>
  <c r="I97" i="36"/>
  <c r="O87" i="36"/>
  <c r="O90" i="36"/>
  <c r="O93" i="36"/>
  <c r="J83" i="36"/>
  <c r="O76" i="36"/>
  <c r="D97" i="36"/>
  <c r="L97" i="36"/>
  <c r="M97" i="36"/>
  <c r="O88" i="36"/>
  <c r="O91" i="36"/>
  <c r="D83" i="36"/>
  <c r="L83" i="36"/>
  <c r="F97" i="36"/>
  <c r="N97" i="36"/>
  <c r="O74" i="36"/>
  <c r="G97" i="36"/>
  <c r="O86" i="36"/>
  <c r="O83" i="36"/>
  <c r="M25" i="37"/>
  <c r="M40" i="37" s="1"/>
  <c r="M49" i="37" s="1"/>
  <c r="L30" i="11"/>
  <c r="F30" i="11"/>
  <c r="F17" i="11"/>
  <c r="F28" i="11" s="1"/>
  <c r="F29" i="11" s="1"/>
  <c r="L16" i="12"/>
  <c r="F16" i="12"/>
  <c r="E83" i="36"/>
  <c r="C83" i="36"/>
  <c r="C98" i="36" s="1"/>
  <c r="D73" i="36" s="1"/>
  <c r="D98" i="36" s="1"/>
  <c r="E73" i="36" s="1"/>
  <c r="E98" i="36" s="1"/>
  <c r="F73" i="36" s="1"/>
  <c r="F98" i="36" s="1"/>
  <c r="G73" i="36" s="1"/>
  <c r="G98" i="36" s="1"/>
  <c r="H73" i="36" s="1"/>
  <c r="H98" i="36" s="1"/>
  <c r="I73" i="36" s="1"/>
  <c r="I98" i="36" s="1"/>
  <c r="J73" i="36" s="1"/>
  <c r="J98" i="36" s="1"/>
  <c r="K73" i="36" s="1"/>
  <c r="K98" i="36" s="1"/>
  <c r="L73" i="36" s="1"/>
  <c r="L98" i="36" s="1"/>
  <c r="M73" i="36" s="1"/>
  <c r="M98" i="36" s="1"/>
  <c r="N73" i="36" s="1"/>
  <c r="N98" i="36" s="1"/>
  <c r="O85" i="36"/>
  <c r="K34" i="19"/>
  <c r="H25" i="31"/>
  <c r="I25" i="31" s="1"/>
  <c r="I11" i="31"/>
  <c r="O97" i="36" l="1"/>
  <c r="L31" i="11"/>
  <c r="M58" i="37"/>
  <c r="F31" i="11"/>
  <c r="L30" i="12"/>
  <c r="L31" i="12"/>
  <c r="F30" i="12"/>
  <c r="F31" i="12"/>
  <c r="O14" i="8"/>
  <c r="O15" i="8"/>
  <c r="I48" i="3"/>
  <c r="J48" i="3" s="1"/>
  <c r="J13" i="11"/>
  <c r="E8" i="13"/>
  <c r="E11" i="13" s="1"/>
  <c r="H57" i="36"/>
  <c r="H58" i="36"/>
  <c r="D18" i="12"/>
  <c r="D17" i="12" s="1"/>
  <c r="D29" i="12" s="1"/>
  <c r="J31" i="2"/>
  <c r="J33" i="2"/>
  <c r="J34" i="2"/>
  <c r="J26" i="2" s="1"/>
  <c r="I23" i="3"/>
  <c r="J23" i="3" s="1"/>
  <c r="I20" i="35"/>
  <c r="J11" i="11"/>
  <c r="J10" i="11"/>
  <c r="H54" i="36"/>
  <c r="H53" i="36"/>
  <c r="I14" i="2"/>
  <c r="J14" i="2" s="1"/>
  <c r="O32" i="8"/>
  <c r="O28" i="8"/>
  <c r="F33" i="8"/>
  <c r="F35" i="8"/>
  <c r="O10" i="8"/>
  <c r="F32" i="8"/>
  <c r="F42" i="8"/>
  <c r="F45" i="8" s="1"/>
  <c r="F10" i="8"/>
  <c r="F16" i="8" s="1"/>
  <c r="F67" i="8"/>
  <c r="F62" i="8"/>
  <c r="F55" i="8"/>
  <c r="F50" i="8"/>
  <c r="F28" i="8"/>
  <c r="F22" i="8"/>
  <c r="O9" i="34"/>
  <c r="O10" i="34"/>
  <c r="O11" i="34"/>
  <c r="O12" i="34"/>
  <c r="O13" i="34"/>
  <c r="O14" i="34"/>
  <c r="O15" i="34"/>
  <c r="O16" i="34"/>
  <c r="O17" i="34"/>
  <c r="O18" i="34"/>
  <c r="O20" i="34"/>
  <c r="O21" i="34"/>
  <c r="O22" i="34"/>
  <c r="O23" i="34"/>
  <c r="O24" i="34"/>
  <c r="O25" i="34"/>
  <c r="O27" i="34"/>
  <c r="O28" i="34"/>
  <c r="O29" i="34"/>
  <c r="O30" i="34"/>
  <c r="O31" i="34"/>
  <c r="O32" i="34"/>
  <c r="O33" i="34"/>
  <c r="O34" i="34"/>
  <c r="O35" i="34"/>
  <c r="O36" i="34"/>
  <c r="O37" i="34"/>
  <c r="O38" i="34"/>
  <c r="O39" i="34"/>
  <c r="O40" i="34"/>
  <c r="O41" i="34"/>
  <c r="O42" i="34"/>
  <c r="O44" i="34"/>
  <c r="O45" i="34"/>
  <c r="O46" i="34"/>
  <c r="O47" i="34"/>
  <c r="O48" i="34"/>
  <c r="N9" i="34"/>
  <c r="N10" i="34"/>
  <c r="N11" i="34"/>
  <c r="N12" i="34"/>
  <c r="N13" i="34"/>
  <c r="N14" i="34"/>
  <c r="N15" i="34"/>
  <c r="N16" i="34"/>
  <c r="N17" i="34"/>
  <c r="N18" i="34"/>
  <c r="N20" i="34"/>
  <c r="N21" i="34"/>
  <c r="N22" i="34"/>
  <c r="N23" i="34"/>
  <c r="N24" i="34"/>
  <c r="N25" i="34"/>
  <c r="N27" i="34"/>
  <c r="N28" i="34"/>
  <c r="N29" i="34"/>
  <c r="N30" i="34"/>
  <c r="N31" i="34"/>
  <c r="N32" i="34"/>
  <c r="N33" i="34"/>
  <c r="N34" i="34"/>
  <c r="N35" i="34"/>
  <c r="N36" i="34"/>
  <c r="N37" i="34"/>
  <c r="N38" i="34"/>
  <c r="N39" i="34"/>
  <c r="N40" i="34"/>
  <c r="N41" i="34"/>
  <c r="N42" i="34"/>
  <c r="N43" i="34"/>
  <c r="N45" i="34"/>
  <c r="N46" i="34"/>
  <c r="N48" i="34"/>
  <c r="M9" i="34"/>
  <c r="M10" i="34"/>
  <c r="M11" i="34"/>
  <c r="M12" i="34"/>
  <c r="M13" i="34"/>
  <c r="M14" i="34"/>
  <c r="M15" i="34"/>
  <c r="M16" i="34"/>
  <c r="M17" i="34"/>
  <c r="M18" i="34"/>
  <c r="M20" i="34"/>
  <c r="M21" i="34"/>
  <c r="M22" i="34"/>
  <c r="M23" i="34"/>
  <c r="M24" i="34"/>
  <c r="M25" i="34"/>
  <c r="M27" i="34"/>
  <c r="M28" i="34"/>
  <c r="M29" i="34"/>
  <c r="M30" i="34"/>
  <c r="M31" i="34"/>
  <c r="M32" i="34"/>
  <c r="M33" i="34"/>
  <c r="M34" i="34"/>
  <c r="M35" i="34"/>
  <c r="M36" i="34"/>
  <c r="M37" i="34"/>
  <c r="M38" i="34"/>
  <c r="M39" i="34"/>
  <c r="M40" i="34"/>
  <c r="M41" i="34"/>
  <c r="M42" i="34"/>
  <c r="M43" i="34"/>
  <c r="M45" i="34"/>
  <c r="M46" i="34"/>
  <c r="M48" i="34"/>
  <c r="J9" i="34"/>
  <c r="J10" i="34"/>
  <c r="J11" i="34"/>
  <c r="J12" i="34"/>
  <c r="J13" i="34"/>
  <c r="J14" i="34"/>
  <c r="J15" i="34"/>
  <c r="J16" i="34"/>
  <c r="J17" i="34"/>
  <c r="J18" i="34"/>
  <c r="J20" i="34"/>
  <c r="J21" i="34"/>
  <c r="J22" i="34"/>
  <c r="J23" i="34"/>
  <c r="J24" i="34"/>
  <c r="J25" i="34"/>
  <c r="J27" i="34"/>
  <c r="J28" i="34"/>
  <c r="J29" i="34"/>
  <c r="J30" i="34"/>
  <c r="J31" i="34"/>
  <c r="J32" i="34"/>
  <c r="J33" i="34"/>
  <c r="J34" i="34"/>
  <c r="J35" i="34"/>
  <c r="J36" i="34"/>
  <c r="J37" i="34"/>
  <c r="J38" i="34"/>
  <c r="J39" i="34"/>
  <c r="J40" i="34"/>
  <c r="J41" i="34"/>
  <c r="J42" i="34"/>
  <c r="J43" i="34"/>
  <c r="J45" i="34"/>
  <c r="J46" i="34"/>
  <c r="J48" i="34"/>
  <c r="I48" i="34"/>
  <c r="O9" i="35"/>
  <c r="O10" i="35"/>
  <c r="O11" i="35"/>
  <c r="O12" i="35"/>
  <c r="O13" i="35"/>
  <c r="O14" i="35"/>
  <c r="O15" i="35"/>
  <c r="O16" i="35"/>
  <c r="O17" i="35"/>
  <c r="O18" i="35"/>
  <c r="O19" i="35"/>
  <c r="O22" i="35"/>
  <c r="O23" i="35"/>
  <c r="O24" i="35"/>
  <c r="O25" i="35"/>
  <c r="O26" i="35"/>
  <c r="O27" i="35"/>
  <c r="O28" i="35"/>
  <c r="O29" i="35"/>
  <c r="O30" i="35"/>
  <c r="O31" i="35"/>
  <c r="O32" i="35"/>
  <c r="O33" i="35"/>
  <c r="O34" i="35"/>
  <c r="O35" i="35"/>
  <c r="O36" i="35"/>
  <c r="O37" i="35"/>
  <c r="O38" i="35"/>
  <c r="O39" i="35"/>
  <c r="O40" i="35"/>
  <c r="O41" i="35"/>
  <c r="O42" i="35"/>
  <c r="O43" i="35"/>
  <c r="O45" i="35"/>
  <c r="O46" i="35"/>
  <c r="O47" i="35"/>
  <c r="O48" i="35"/>
  <c r="O49" i="35"/>
  <c r="O50" i="35"/>
  <c r="O52" i="35"/>
  <c r="O53" i="35"/>
  <c r="O54" i="35"/>
  <c r="O55" i="35"/>
  <c r="O56" i="35"/>
  <c r="O57" i="35"/>
  <c r="O58" i="35"/>
  <c r="O59" i="35"/>
  <c r="O60" i="35"/>
  <c r="O61" i="35"/>
  <c r="O63" i="35"/>
  <c r="O64" i="35"/>
  <c r="O65" i="35"/>
  <c r="O66" i="35"/>
  <c r="N9" i="35"/>
  <c r="N10" i="35"/>
  <c r="N11" i="35"/>
  <c r="N12" i="35"/>
  <c r="N13" i="35"/>
  <c r="N14" i="35"/>
  <c r="N15" i="35"/>
  <c r="N16" i="35"/>
  <c r="N17" i="35"/>
  <c r="N18" i="35"/>
  <c r="N19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37" i="35"/>
  <c r="N38" i="35"/>
  <c r="N39" i="35"/>
  <c r="N40" i="35"/>
  <c r="N41" i="35"/>
  <c r="N42" i="35"/>
  <c r="N43" i="35"/>
  <c r="N45" i="35"/>
  <c r="N46" i="35"/>
  <c r="N47" i="35"/>
  <c r="N48" i="35"/>
  <c r="N49" i="35"/>
  <c r="N52" i="35"/>
  <c r="N53" i="35"/>
  <c r="N54" i="35"/>
  <c r="N55" i="35"/>
  <c r="N56" i="35"/>
  <c r="N57" i="35"/>
  <c r="N58" i="35"/>
  <c r="N59" i="35"/>
  <c r="N60" i="35"/>
  <c r="N61" i="35"/>
  <c r="N63" i="35"/>
  <c r="N64" i="35"/>
  <c r="N65" i="35"/>
  <c r="N66" i="35"/>
  <c r="M9" i="35"/>
  <c r="M10" i="35"/>
  <c r="M11" i="35"/>
  <c r="M12" i="35"/>
  <c r="M13" i="35"/>
  <c r="M14" i="35"/>
  <c r="M15" i="35"/>
  <c r="M16" i="35"/>
  <c r="M17" i="35"/>
  <c r="M18" i="35"/>
  <c r="M19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36" i="35"/>
  <c r="M37" i="35"/>
  <c r="M38" i="35"/>
  <c r="M39" i="35"/>
  <c r="M40" i="35"/>
  <c r="M41" i="35"/>
  <c r="M42" i="35"/>
  <c r="M43" i="35"/>
  <c r="M45" i="35"/>
  <c r="M46" i="35"/>
  <c r="M47" i="35"/>
  <c r="M48" i="35"/>
  <c r="M49" i="35"/>
  <c r="M52" i="35"/>
  <c r="M53" i="35"/>
  <c r="M54" i="35"/>
  <c r="M55" i="35"/>
  <c r="M56" i="35"/>
  <c r="M57" i="35"/>
  <c r="M58" i="35"/>
  <c r="M59" i="35"/>
  <c r="M60" i="35"/>
  <c r="M61" i="35"/>
  <c r="M62" i="35"/>
  <c r="M63" i="35"/>
  <c r="M64" i="35"/>
  <c r="M65" i="35"/>
  <c r="M66" i="35"/>
  <c r="K67" i="35"/>
  <c r="L67" i="35"/>
  <c r="J9" i="35"/>
  <c r="J10" i="35"/>
  <c r="J11" i="35"/>
  <c r="J12" i="35"/>
  <c r="J13" i="35"/>
  <c r="J14" i="35"/>
  <c r="J15" i="35"/>
  <c r="J16" i="35"/>
  <c r="J17" i="35"/>
  <c r="J18" i="35"/>
  <c r="J19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38" i="35"/>
  <c r="J39" i="35"/>
  <c r="J40" i="35"/>
  <c r="J41" i="35"/>
  <c r="J42" i="35"/>
  <c r="J43" i="35"/>
  <c r="J45" i="35"/>
  <c r="J46" i="35"/>
  <c r="J47" i="35"/>
  <c r="J48" i="35"/>
  <c r="J49" i="35"/>
  <c r="J52" i="35"/>
  <c r="J53" i="35"/>
  <c r="J54" i="35"/>
  <c r="J55" i="35"/>
  <c r="J56" i="35"/>
  <c r="J57" i="35"/>
  <c r="J58" i="35"/>
  <c r="J59" i="35"/>
  <c r="J60" i="35"/>
  <c r="J61" i="35"/>
  <c r="J62" i="35"/>
  <c r="J63" i="35"/>
  <c r="J64" i="35"/>
  <c r="J65" i="35"/>
  <c r="J66" i="35"/>
  <c r="F9" i="2"/>
  <c r="G9" i="2"/>
  <c r="H9" i="2"/>
  <c r="K9" i="2"/>
  <c r="L9" i="2"/>
  <c r="E9" i="2"/>
  <c r="I16" i="2"/>
  <c r="J16" i="2" s="1"/>
  <c r="J10" i="2"/>
  <c r="J11" i="2"/>
  <c r="J12" i="2"/>
  <c r="J13" i="2"/>
  <c r="J15" i="2"/>
  <c r="J17" i="2"/>
  <c r="J18" i="2"/>
  <c r="J19" i="2"/>
  <c r="J21" i="2"/>
  <c r="J22" i="2"/>
  <c r="J23" i="2"/>
  <c r="J24" i="2"/>
  <c r="J25" i="2"/>
  <c r="J27" i="2"/>
  <c r="J28" i="2"/>
  <c r="J29" i="2"/>
  <c r="J30" i="2"/>
  <c r="J35" i="2"/>
  <c r="J36" i="2"/>
  <c r="J37" i="2"/>
  <c r="J38" i="2"/>
  <c r="J39" i="2"/>
  <c r="J40" i="2"/>
  <c r="J41" i="2"/>
  <c r="J42" i="2"/>
  <c r="J45" i="2"/>
  <c r="J46" i="2"/>
  <c r="J47" i="2"/>
  <c r="J48" i="2"/>
  <c r="J28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4" i="3"/>
  <c r="J25" i="3"/>
  <c r="J26" i="3"/>
  <c r="J27" i="3"/>
  <c r="J29" i="3"/>
  <c r="J30" i="3"/>
  <c r="J31" i="3"/>
  <c r="J32" i="3"/>
  <c r="J33" i="3"/>
  <c r="J35" i="3"/>
  <c r="J36" i="3"/>
  <c r="J37" i="3"/>
  <c r="J38" i="3"/>
  <c r="J39" i="3"/>
  <c r="J40" i="3"/>
  <c r="J41" i="3"/>
  <c r="J42" i="3"/>
  <c r="J43" i="3"/>
  <c r="J45" i="3"/>
  <c r="J46" i="3"/>
  <c r="J47" i="3"/>
  <c r="J49" i="3"/>
  <c r="J51" i="3"/>
  <c r="J52" i="3"/>
  <c r="J53" i="3"/>
  <c r="J55" i="3"/>
  <c r="J56" i="3"/>
  <c r="J57" i="3"/>
  <c r="J58" i="3"/>
  <c r="J59" i="3"/>
  <c r="J60" i="3"/>
  <c r="J62" i="3"/>
  <c r="J63" i="3"/>
  <c r="J64" i="3"/>
  <c r="J65" i="3"/>
  <c r="I8" i="3"/>
  <c r="K8" i="3"/>
  <c r="I36" i="3"/>
  <c r="I35" i="3"/>
  <c r="I32" i="3"/>
  <c r="I34" i="3"/>
  <c r="I10" i="3"/>
  <c r="I9" i="6"/>
  <c r="I8" i="6" s="1"/>
  <c r="I11" i="6"/>
  <c r="I14" i="6"/>
  <c r="I17" i="6"/>
  <c r="I18" i="6"/>
  <c r="I23" i="6"/>
  <c r="I22" i="6" s="1"/>
  <c r="I24" i="6"/>
  <c r="I31" i="6"/>
  <c r="I30" i="6" s="1"/>
  <c r="I32" i="6"/>
  <c r="I33" i="6"/>
  <c r="M47" i="6"/>
  <c r="K46" i="6"/>
  <c r="J46" i="6"/>
  <c r="K45" i="6"/>
  <c r="J45" i="6"/>
  <c r="K44" i="6"/>
  <c r="J44" i="6"/>
  <c r="K43" i="6"/>
  <c r="J43" i="6"/>
  <c r="J42" i="6" s="1"/>
  <c r="K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J34" i="6" s="1"/>
  <c r="K34" i="6"/>
  <c r="K33" i="6"/>
  <c r="J33" i="6"/>
  <c r="K32" i="6"/>
  <c r="J32" i="6"/>
  <c r="K31" i="6"/>
  <c r="J31" i="6"/>
  <c r="J30" i="6" s="1"/>
  <c r="L30" i="6"/>
  <c r="L47" i="6" s="1"/>
  <c r="K30" i="6"/>
  <c r="K47" i="6" s="1"/>
  <c r="L25" i="6"/>
  <c r="K24" i="6"/>
  <c r="J24" i="6"/>
  <c r="K23" i="6"/>
  <c r="J23" i="6"/>
  <c r="J22" i="6" s="1"/>
  <c r="K22" i="6"/>
  <c r="M21" i="6"/>
  <c r="M25" i="6" s="1"/>
  <c r="K20" i="6"/>
  <c r="K19" i="6" s="1"/>
  <c r="J19" i="6"/>
  <c r="K18" i="6"/>
  <c r="J18" i="6"/>
  <c r="K17" i="6"/>
  <c r="J17" i="6"/>
  <c r="K16" i="6"/>
  <c r="K15" i="6"/>
  <c r="K14" i="6"/>
  <c r="J14" i="6"/>
  <c r="J12" i="6" s="1"/>
  <c r="K13" i="6"/>
  <c r="K12" i="6"/>
  <c r="K11" i="6"/>
  <c r="K10" i="6" s="1"/>
  <c r="J11" i="6"/>
  <c r="J10" i="6" s="1"/>
  <c r="K9" i="6"/>
  <c r="K8" i="6" s="1"/>
  <c r="J9" i="6"/>
  <c r="M8" i="6"/>
  <c r="L8" i="6"/>
  <c r="J8" i="6"/>
  <c r="I46" i="6"/>
  <c r="I45" i="6"/>
  <c r="I44" i="6"/>
  <c r="I42" i="6" s="1"/>
  <c r="I43" i="6"/>
  <c r="I41" i="6"/>
  <c r="I40" i="6"/>
  <c r="I39" i="6"/>
  <c r="I38" i="6"/>
  <c r="I37" i="6"/>
  <c r="I36" i="6"/>
  <c r="I34" i="6" s="1"/>
  <c r="I35" i="6"/>
  <c r="I19" i="6"/>
  <c r="I12" i="6"/>
  <c r="I10" i="6"/>
  <c r="I40" i="21"/>
  <c r="J40" i="21" s="1"/>
  <c r="K40" i="21" s="1"/>
  <c r="I38" i="21"/>
  <c r="J38" i="21" s="1"/>
  <c r="K38" i="21" s="1"/>
  <c r="I36" i="21"/>
  <c r="I34" i="21"/>
  <c r="J34" i="21" s="1"/>
  <c r="K34" i="21" s="1"/>
  <c r="I33" i="21"/>
  <c r="I31" i="21" s="1"/>
  <c r="J31" i="21" s="1"/>
  <c r="K31" i="21" s="1"/>
  <c r="I32" i="21"/>
  <c r="J32" i="21" s="1"/>
  <c r="K32" i="21" s="1"/>
  <c r="K37" i="21"/>
  <c r="K39" i="21"/>
  <c r="K41" i="21"/>
  <c r="K42" i="21"/>
  <c r="K43" i="21"/>
  <c r="K44" i="21"/>
  <c r="K45" i="21"/>
  <c r="K46" i="21"/>
  <c r="K47" i="21"/>
  <c r="K11" i="21"/>
  <c r="K12" i="21"/>
  <c r="K13" i="21"/>
  <c r="K14" i="21"/>
  <c r="K15" i="21"/>
  <c r="K16" i="21"/>
  <c r="K17" i="21"/>
  <c r="K18" i="21"/>
  <c r="K19" i="21"/>
  <c r="K20" i="21"/>
  <c r="K21" i="21"/>
  <c r="J33" i="21"/>
  <c r="K33" i="21" s="1"/>
  <c r="J37" i="21"/>
  <c r="J39" i="21"/>
  <c r="J41" i="21"/>
  <c r="J42" i="21"/>
  <c r="J43" i="21"/>
  <c r="J44" i="21"/>
  <c r="J45" i="21"/>
  <c r="J46" i="21"/>
  <c r="J47" i="21"/>
  <c r="J10" i="21"/>
  <c r="K10" i="21" s="1"/>
  <c r="J11" i="21"/>
  <c r="J12" i="21"/>
  <c r="J13" i="21"/>
  <c r="J14" i="21"/>
  <c r="J15" i="21"/>
  <c r="J16" i="21"/>
  <c r="J17" i="21"/>
  <c r="J18" i="21"/>
  <c r="J19" i="21"/>
  <c r="J20" i="21"/>
  <c r="J21" i="21"/>
  <c r="J24" i="21"/>
  <c r="K24" i="21" s="1"/>
  <c r="J25" i="21"/>
  <c r="K25" i="21" s="1"/>
  <c r="M41" i="21"/>
  <c r="M48" i="21" s="1"/>
  <c r="L41" i="21"/>
  <c r="L31" i="21"/>
  <c r="L48" i="21" s="1"/>
  <c r="L26" i="21"/>
  <c r="M22" i="21"/>
  <c r="M26" i="21" s="1"/>
  <c r="M9" i="21"/>
  <c r="L9" i="21"/>
  <c r="I43" i="21"/>
  <c r="I41" i="21"/>
  <c r="I23" i="21"/>
  <c r="J23" i="21" s="1"/>
  <c r="K23" i="21" s="1"/>
  <c r="I20" i="21"/>
  <c r="I13" i="21"/>
  <c r="I11" i="21"/>
  <c r="I9" i="21"/>
  <c r="J9" i="21" s="1"/>
  <c r="K9" i="21" s="1"/>
  <c r="I33" i="22"/>
  <c r="I31" i="22" s="1"/>
  <c r="J31" i="22" s="1"/>
  <c r="K31" i="22" s="1"/>
  <c r="I32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9" i="22"/>
  <c r="J32" i="22"/>
  <c r="K32" i="22" s="1"/>
  <c r="J33" i="22"/>
  <c r="K33" i="22" s="1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9" i="22"/>
  <c r="M41" i="22"/>
  <c r="M48" i="22" s="1"/>
  <c r="L41" i="22"/>
  <c r="L31" i="22"/>
  <c r="L48" i="22" s="1"/>
  <c r="L26" i="22"/>
  <c r="M22" i="22"/>
  <c r="M26" i="22" s="1"/>
  <c r="M9" i="22"/>
  <c r="L9" i="22"/>
  <c r="I43" i="22"/>
  <c r="I41" i="22"/>
  <c r="I35" i="22"/>
  <c r="I23" i="22"/>
  <c r="I20" i="22"/>
  <c r="I22" i="22" s="1"/>
  <c r="I26" i="22" s="1"/>
  <c r="I13" i="22"/>
  <c r="I11" i="22"/>
  <c r="I9" i="22"/>
  <c r="K22" i="37"/>
  <c r="K25" i="37" s="1"/>
  <c r="K36" i="37"/>
  <c r="D36" i="37"/>
  <c r="F36" i="37" s="1"/>
  <c r="D37" i="37"/>
  <c r="F37" i="37" s="1"/>
  <c r="K23" i="37"/>
  <c r="L23" i="37" s="1"/>
  <c r="N23" i="37" s="1"/>
  <c r="D23" i="37"/>
  <c r="F23" i="37" s="1"/>
  <c r="H37" i="37"/>
  <c r="I19" i="37"/>
  <c r="D19" i="37"/>
  <c r="F19" i="37" s="1"/>
  <c r="L45" i="37"/>
  <c r="N45" i="37" s="1"/>
  <c r="H44" i="37"/>
  <c r="I44" i="37" s="1"/>
  <c r="J44" i="37" s="1"/>
  <c r="L44" i="37" s="1"/>
  <c r="N44" i="37" s="1"/>
  <c r="D44" i="37"/>
  <c r="F44" i="37" s="1"/>
  <c r="D45" i="37"/>
  <c r="F45" i="37" s="1"/>
  <c r="C58" i="37"/>
  <c r="D25" i="37"/>
  <c r="F25" i="37" s="1"/>
  <c r="D26" i="37"/>
  <c r="F26" i="37" s="1"/>
  <c r="J9" i="11"/>
  <c r="D10" i="11"/>
  <c r="D17" i="11"/>
  <c r="D28" i="11" s="1"/>
  <c r="D22" i="11"/>
  <c r="D13" i="11"/>
  <c r="D9" i="11"/>
  <c r="D16" i="11" s="1"/>
  <c r="J32" i="12"/>
  <c r="J11" i="12"/>
  <c r="D16" i="12"/>
  <c r="H52" i="36"/>
  <c r="H43" i="36"/>
  <c r="H47" i="36"/>
  <c r="H60" i="36"/>
  <c r="H46" i="36"/>
  <c r="C62" i="36"/>
  <c r="O62" i="36" s="1"/>
  <c r="O61" i="36"/>
  <c r="N60" i="36"/>
  <c r="M60" i="36"/>
  <c r="L60" i="36"/>
  <c r="K60" i="36"/>
  <c r="J60" i="36"/>
  <c r="I60" i="36"/>
  <c r="G60" i="36"/>
  <c r="F60" i="36"/>
  <c r="E60" i="36"/>
  <c r="D60" i="36"/>
  <c r="C60" i="36"/>
  <c r="N59" i="36"/>
  <c r="M59" i="36"/>
  <c r="L59" i="36"/>
  <c r="K59" i="36"/>
  <c r="J59" i="36"/>
  <c r="I59" i="36"/>
  <c r="G59" i="36"/>
  <c r="F59" i="36"/>
  <c r="E59" i="36"/>
  <c r="D59" i="36"/>
  <c r="C59" i="36"/>
  <c r="N58" i="36"/>
  <c r="M58" i="36"/>
  <c r="L58" i="36"/>
  <c r="K58" i="36"/>
  <c r="J58" i="36"/>
  <c r="I58" i="36"/>
  <c r="G58" i="36"/>
  <c r="F58" i="36"/>
  <c r="E58" i="36"/>
  <c r="D58" i="36"/>
  <c r="C58" i="36"/>
  <c r="N57" i="36"/>
  <c r="M57" i="36"/>
  <c r="L57" i="36"/>
  <c r="K57" i="36"/>
  <c r="J57" i="36"/>
  <c r="I57" i="36"/>
  <c r="G57" i="36"/>
  <c r="F57" i="36"/>
  <c r="E57" i="36"/>
  <c r="D57" i="36"/>
  <c r="C57" i="36"/>
  <c r="O56" i="36"/>
  <c r="N55" i="36"/>
  <c r="M55" i="36"/>
  <c r="L55" i="36"/>
  <c r="K55" i="36"/>
  <c r="J55" i="36"/>
  <c r="I55" i="36"/>
  <c r="H55" i="36"/>
  <c r="G55" i="36"/>
  <c r="F55" i="36"/>
  <c r="E55" i="36"/>
  <c r="D55" i="36"/>
  <c r="C55" i="36"/>
  <c r="N54" i="36"/>
  <c r="M54" i="36"/>
  <c r="L54" i="36"/>
  <c r="K54" i="36"/>
  <c r="J54" i="36"/>
  <c r="I54" i="36"/>
  <c r="G54" i="36"/>
  <c r="F54" i="36"/>
  <c r="E54" i="36"/>
  <c r="D54" i="36"/>
  <c r="C54" i="36"/>
  <c r="N53" i="36"/>
  <c r="M53" i="36"/>
  <c r="L53" i="36"/>
  <c r="K53" i="36"/>
  <c r="J53" i="36"/>
  <c r="I53" i="36"/>
  <c r="G53" i="36"/>
  <c r="F53" i="36"/>
  <c r="E53" i="36"/>
  <c r="D53" i="36"/>
  <c r="C53" i="36"/>
  <c r="N52" i="36"/>
  <c r="M52" i="36"/>
  <c r="L52" i="36"/>
  <c r="K52" i="36"/>
  <c r="J52" i="36"/>
  <c r="I52" i="36"/>
  <c r="G52" i="36"/>
  <c r="F52" i="36"/>
  <c r="E52" i="36"/>
  <c r="D52" i="36"/>
  <c r="C52" i="36"/>
  <c r="O49" i="36"/>
  <c r="O48" i="36"/>
  <c r="N47" i="36"/>
  <c r="M47" i="36"/>
  <c r="L47" i="36"/>
  <c r="K47" i="36"/>
  <c r="J47" i="36"/>
  <c r="I47" i="36"/>
  <c r="G47" i="36"/>
  <c r="F47" i="36"/>
  <c r="E47" i="36"/>
  <c r="D47" i="36"/>
  <c r="C47" i="36"/>
  <c r="E46" i="36"/>
  <c r="O45" i="36"/>
  <c r="O44" i="36"/>
  <c r="N43" i="36"/>
  <c r="M43" i="36"/>
  <c r="L43" i="36"/>
  <c r="K43" i="36"/>
  <c r="J43" i="36"/>
  <c r="I43" i="36"/>
  <c r="G43" i="36"/>
  <c r="F43" i="36"/>
  <c r="E43" i="36"/>
  <c r="D43" i="36"/>
  <c r="C43" i="36"/>
  <c r="N42" i="36"/>
  <c r="N50" i="36" s="1"/>
  <c r="M42" i="36"/>
  <c r="L42" i="36"/>
  <c r="K42" i="36"/>
  <c r="J42" i="36"/>
  <c r="I42" i="36"/>
  <c r="H42" i="36"/>
  <c r="G42" i="36"/>
  <c r="F42" i="36"/>
  <c r="F50" i="36" s="1"/>
  <c r="E42" i="36"/>
  <c r="D42" i="36"/>
  <c r="C42" i="36"/>
  <c r="N41" i="36"/>
  <c r="M41" i="36"/>
  <c r="L41" i="36"/>
  <c r="K41" i="36"/>
  <c r="J41" i="36"/>
  <c r="I41" i="36"/>
  <c r="G41" i="36"/>
  <c r="F41" i="36"/>
  <c r="E41" i="36"/>
  <c r="D41" i="36"/>
  <c r="C41" i="36"/>
  <c r="C40" i="36"/>
  <c r="G13" i="36"/>
  <c r="G9" i="36"/>
  <c r="G18" i="36"/>
  <c r="F19" i="31"/>
  <c r="G64" i="36" l="1"/>
  <c r="I64" i="36"/>
  <c r="F64" i="36"/>
  <c r="O41" i="36"/>
  <c r="L50" i="36"/>
  <c r="M50" i="36"/>
  <c r="J64" i="36"/>
  <c r="O57" i="36"/>
  <c r="K50" i="36"/>
  <c r="E50" i="36"/>
  <c r="K64" i="36"/>
  <c r="O60" i="36"/>
  <c r="J50" i="36"/>
  <c r="C64" i="36"/>
  <c r="L64" i="36"/>
  <c r="D50" i="36"/>
  <c r="O42" i="36"/>
  <c r="D64" i="36"/>
  <c r="M64" i="36"/>
  <c r="O55" i="36"/>
  <c r="G50" i="36"/>
  <c r="I50" i="36"/>
  <c r="E64" i="36"/>
  <c r="N64" i="36"/>
  <c r="F56" i="8"/>
  <c r="F68" i="8" s="1"/>
  <c r="L36" i="37"/>
  <c r="N36" i="37" s="1"/>
  <c r="K39" i="37"/>
  <c r="D30" i="12"/>
  <c r="O54" i="36"/>
  <c r="F29" i="8"/>
  <c r="F31" i="8"/>
  <c r="F37" i="8" s="1"/>
  <c r="I9" i="2"/>
  <c r="J9" i="2"/>
  <c r="J21" i="6"/>
  <c r="J47" i="6"/>
  <c r="K21" i="6"/>
  <c r="K25" i="6"/>
  <c r="J25" i="6"/>
  <c r="I21" i="6"/>
  <c r="I25" i="6" s="1"/>
  <c r="I47" i="6"/>
  <c r="I35" i="21"/>
  <c r="J35" i="21" s="1"/>
  <c r="K35" i="21" s="1"/>
  <c r="J36" i="21"/>
  <c r="K36" i="21" s="1"/>
  <c r="I48" i="21"/>
  <c r="J48" i="21" s="1"/>
  <c r="K48" i="21" s="1"/>
  <c r="I22" i="21"/>
  <c r="I48" i="22"/>
  <c r="J48" i="22" s="1"/>
  <c r="K48" i="22" s="1"/>
  <c r="I37" i="37"/>
  <c r="J37" i="37" s="1"/>
  <c r="L37" i="37" s="1"/>
  <c r="N37" i="37" s="1"/>
  <c r="L19" i="37"/>
  <c r="N19" i="37" s="1"/>
  <c r="D29" i="11"/>
  <c r="O58" i="36"/>
  <c r="O59" i="36"/>
  <c r="O53" i="36"/>
  <c r="H64" i="36"/>
  <c r="O47" i="36"/>
  <c r="O46" i="36"/>
  <c r="O43" i="36"/>
  <c r="H50" i="36"/>
  <c r="C50" i="36"/>
  <c r="O52" i="36"/>
  <c r="G13" i="31"/>
  <c r="G14" i="31"/>
  <c r="G15" i="31"/>
  <c r="G17" i="31"/>
  <c r="G16" i="31"/>
  <c r="G18" i="31"/>
  <c r="G19" i="31"/>
  <c r="G20" i="31"/>
  <c r="G21" i="31"/>
  <c r="G22" i="31"/>
  <c r="G23" i="31"/>
  <c r="P17" i="8"/>
  <c r="P21" i="8"/>
  <c r="P23" i="8"/>
  <c r="P27" i="8"/>
  <c r="P30" i="8"/>
  <c r="P34" i="8"/>
  <c r="P36" i="8"/>
  <c r="P39" i="8"/>
  <c r="P40" i="8"/>
  <c r="P41" i="8"/>
  <c r="P46" i="8"/>
  <c r="P48" i="8"/>
  <c r="P49" i="8"/>
  <c r="P51" i="8"/>
  <c r="P53" i="8"/>
  <c r="P54" i="8"/>
  <c r="P57" i="8"/>
  <c r="P58" i="8"/>
  <c r="P59" i="8"/>
  <c r="P60" i="8"/>
  <c r="P61" i="8"/>
  <c r="P63" i="8"/>
  <c r="P64" i="8"/>
  <c r="P65" i="8"/>
  <c r="P66" i="8"/>
  <c r="G13" i="8"/>
  <c r="G14" i="8"/>
  <c r="G15" i="8"/>
  <c r="G17" i="8"/>
  <c r="G21" i="8"/>
  <c r="G23" i="8"/>
  <c r="G25" i="8"/>
  <c r="G27" i="8"/>
  <c r="G46" i="8"/>
  <c r="G47" i="8"/>
  <c r="G48" i="8"/>
  <c r="G49" i="8"/>
  <c r="G51" i="8"/>
  <c r="G52" i="8"/>
  <c r="G53" i="8"/>
  <c r="G54" i="8"/>
  <c r="G59" i="8"/>
  <c r="G60" i="8"/>
  <c r="G61" i="8"/>
  <c r="G63" i="8"/>
  <c r="G64" i="8"/>
  <c r="G65" i="8"/>
  <c r="G66" i="8"/>
  <c r="O62" i="8"/>
  <c r="O67" i="8" s="1"/>
  <c r="O55" i="8"/>
  <c r="O50" i="8"/>
  <c r="O35" i="8"/>
  <c r="O33" i="8"/>
  <c r="O31" i="8"/>
  <c r="O22" i="8"/>
  <c r="O16" i="8"/>
  <c r="P7" i="8"/>
  <c r="O7" i="8"/>
  <c r="P44" i="34"/>
  <c r="P41" i="34"/>
  <c r="P36" i="34"/>
  <c r="P26" i="34"/>
  <c r="P19" i="34"/>
  <c r="P16" i="34"/>
  <c r="P8" i="34"/>
  <c r="I47" i="34"/>
  <c r="L44" i="34"/>
  <c r="L41" i="34"/>
  <c r="L36" i="34"/>
  <c r="L26" i="34"/>
  <c r="L19" i="34"/>
  <c r="L16" i="34"/>
  <c r="L8" i="34"/>
  <c r="P63" i="35"/>
  <c r="P51" i="35"/>
  <c r="P44" i="35"/>
  <c r="P41" i="35"/>
  <c r="P37" i="35"/>
  <c r="P21" i="35"/>
  <c r="P16" i="35"/>
  <c r="P9" i="35"/>
  <c r="P8" i="35" s="1"/>
  <c r="L63" i="35"/>
  <c r="I63" i="35"/>
  <c r="L51" i="35"/>
  <c r="I50" i="35"/>
  <c r="L44" i="35"/>
  <c r="L41" i="35"/>
  <c r="L37" i="35"/>
  <c r="K37" i="35"/>
  <c r="L21" i="35"/>
  <c r="L16" i="35"/>
  <c r="K16" i="35"/>
  <c r="L9" i="35"/>
  <c r="L8" i="35" s="1"/>
  <c r="K9" i="35"/>
  <c r="O9" i="2"/>
  <c r="O10" i="2"/>
  <c r="O11" i="2"/>
  <c r="O12" i="2"/>
  <c r="O13" i="2"/>
  <c r="O14" i="2"/>
  <c r="O15" i="2"/>
  <c r="O17" i="2"/>
  <c r="O18" i="2"/>
  <c r="O22" i="2"/>
  <c r="O23" i="2"/>
  <c r="O24" i="2"/>
  <c r="O25" i="2"/>
  <c r="O28" i="2"/>
  <c r="O29" i="2"/>
  <c r="O30" i="2"/>
  <c r="O32" i="2"/>
  <c r="O33" i="2"/>
  <c r="O34" i="2"/>
  <c r="O35" i="2"/>
  <c r="O37" i="2"/>
  <c r="O38" i="2"/>
  <c r="O39" i="2"/>
  <c r="O40" i="2"/>
  <c r="O42" i="2"/>
  <c r="O45" i="2"/>
  <c r="O46" i="2"/>
  <c r="O47" i="2"/>
  <c r="O48" i="2"/>
  <c r="N10" i="2"/>
  <c r="N11" i="2"/>
  <c r="N12" i="2"/>
  <c r="N13" i="2"/>
  <c r="N14" i="2"/>
  <c r="N15" i="2"/>
  <c r="N17" i="2"/>
  <c r="N18" i="2"/>
  <c r="N22" i="2"/>
  <c r="N23" i="2"/>
  <c r="N24" i="2"/>
  <c r="N25" i="2"/>
  <c r="N28" i="2"/>
  <c r="N29" i="2"/>
  <c r="N30" i="2"/>
  <c r="N32" i="2"/>
  <c r="N33" i="2"/>
  <c r="N34" i="2"/>
  <c r="N35" i="2"/>
  <c r="N37" i="2"/>
  <c r="N38" i="2"/>
  <c r="N40" i="2"/>
  <c r="N42" i="2"/>
  <c r="N45" i="2"/>
  <c r="N46" i="2"/>
  <c r="N47" i="2"/>
  <c r="N48" i="2"/>
  <c r="M10" i="2"/>
  <c r="M11" i="2"/>
  <c r="M12" i="2"/>
  <c r="M13" i="2"/>
  <c r="M14" i="2"/>
  <c r="M15" i="2"/>
  <c r="M17" i="2"/>
  <c r="M18" i="2"/>
  <c r="M20" i="2"/>
  <c r="M22" i="2"/>
  <c r="M23" i="2"/>
  <c r="M24" i="2"/>
  <c r="M25" i="2"/>
  <c r="M27" i="2"/>
  <c r="M28" i="2"/>
  <c r="M29" i="2"/>
  <c r="M30" i="2"/>
  <c r="M31" i="2"/>
  <c r="M32" i="2"/>
  <c r="M33" i="2"/>
  <c r="M34" i="2"/>
  <c r="M35" i="2"/>
  <c r="M37" i="2"/>
  <c r="M38" i="2"/>
  <c r="M40" i="2"/>
  <c r="M42" i="2"/>
  <c r="M45" i="2"/>
  <c r="M46" i="2"/>
  <c r="M47" i="2"/>
  <c r="M48" i="2"/>
  <c r="P44" i="2"/>
  <c r="P36" i="2"/>
  <c r="P26" i="2"/>
  <c r="P19" i="2"/>
  <c r="P16" i="2"/>
  <c r="P8" i="2"/>
  <c r="L44" i="2"/>
  <c r="K44" i="2"/>
  <c r="I44" i="2"/>
  <c r="J44" i="2" s="1"/>
  <c r="K41" i="2"/>
  <c r="I41" i="2"/>
  <c r="I41" i="34" s="1"/>
  <c r="I39" i="2"/>
  <c r="I39" i="34" s="1"/>
  <c r="L36" i="2"/>
  <c r="K36" i="2"/>
  <c r="I36" i="2"/>
  <c r="I36" i="34" s="1"/>
  <c r="L26" i="2"/>
  <c r="I26" i="2"/>
  <c r="K21" i="2"/>
  <c r="I21" i="2"/>
  <c r="L19" i="2"/>
  <c r="K19" i="2"/>
  <c r="I19" i="2"/>
  <c r="I19" i="34" s="1"/>
  <c r="L16" i="2"/>
  <c r="K16" i="2"/>
  <c r="I16" i="34"/>
  <c r="L8" i="2"/>
  <c r="L43" i="2" s="1"/>
  <c r="L49" i="2" s="1"/>
  <c r="K8" i="2"/>
  <c r="I8" i="2"/>
  <c r="J8" i="2" s="1"/>
  <c r="J43" i="2" s="1"/>
  <c r="J49" i="2" s="1"/>
  <c r="O10" i="3"/>
  <c r="O11" i="3"/>
  <c r="O12" i="3"/>
  <c r="O13" i="3"/>
  <c r="O14" i="3"/>
  <c r="O15" i="3"/>
  <c r="O17" i="3"/>
  <c r="O18" i="3"/>
  <c r="O19" i="3"/>
  <c r="O20" i="3"/>
  <c r="O23" i="3"/>
  <c r="O24" i="3"/>
  <c r="O26" i="3"/>
  <c r="O27" i="3"/>
  <c r="O29" i="3"/>
  <c r="O30" i="3"/>
  <c r="O31" i="3"/>
  <c r="O32" i="3"/>
  <c r="O33" i="3"/>
  <c r="O34" i="3"/>
  <c r="O35" i="3"/>
  <c r="O36" i="3"/>
  <c r="O38" i="3"/>
  <c r="O39" i="3"/>
  <c r="O40" i="3"/>
  <c r="O42" i="3"/>
  <c r="O43" i="3"/>
  <c r="O45" i="3"/>
  <c r="O46" i="3"/>
  <c r="O47" i="3"/>
  <c r="O48" i="3"/>
  <c r="O49" i="3"/>
  <c r="O51" i="3"/>
  <c r="O52" i="3"/>
  <c r="O53" i="3"/>
  <c r="O54" i="3"/>
  <c r="O55" i="3"/>
  <c r="O57" i="3"/>
  <c r="O58" i="3"/>
  <c r="O59" i="3"/>
  <c r="O60" i="3"/>
  <c r="O63" i="3"/>
  <c r="O64" i="3"/>
  <c r="O65" i="3"/>
  <c r="L62" i="3"/>
  <c r="K62" i="3"/>
  <c r="K56" i="3"/>
  <c r="L50" i="3"/>
  <c r="K50" i="3"/>
  <c r="L44" i="3"/>
  <c r="K44" i="3"/>
  <c r="L41" i="3"/>
  <c r="K41" i="3"/>
  <c r="L37" i="3"/>
  <c r="K37" i="3"/>
  <c r="K28" i="3"/>
  <c r="K25" i="3"/>
  <c r="K22" i="3"/>
  <c r="L21" i="3"/>
  <c r="L16" i="3"/>
  <c r="K16" i="3"/>
  <c r="L9" i="3"/>
  <c r="L8" i="3" s="1"/>
  <c r="K9" i="3"/>
  <c r="M10" i="3"/>
  <c r="M11" i="3"/>
  <c r="M12" i="3"/>
  <c r="M13" i="3"/>
  <c r="M14" i="3"/>
  <c r="M15" i="3"/>
  <c r="M17" i="3"/>
  <c r="M18" i="3"/>
  <c r="M19" i="3"/>
  <c r="M20" i="3"/>
  <c r="M23" i="3"/>
  <c r="M24" i="3"/>
  <c r="M26" i="3"/>
  <c r="M27" i="3"/>
  <c r="M29" i="3"/>
  <c r="M30" i="3"/>
  <c r="M31" i="3"/>
  <c r="M32" i="3"/>
  <c r="M33" i="3"/>
  <c r="M34" i="3"/>
  <c r="M35" i="3"/>
  <c r="M36" i="3"/>
  <c r="M38" i="3"/>
  <c r="M39" i="3"/>
  <c r="M40" i="3"/>
  <c r="M42" i="3"/>
  <c r="M43" i="3"/>
  <c r="M45" i="3"/>
  <c r="M46" i="3"/>
  <c r="M47" i="3"/>
  <c r="M48" i="3"/>
  <c r="M49" i="3"/>
  <c r="M51" i="3"/>
  <c r="M52" i="3"/>
  <c r="M53" i="3"/>
  <c r="M54" i="3"/>
  <c r="M55" i="3"/>
  <c r="M57" i="3"/>
  <c r="M58" i="3"/>
  <c r="M60" i="3"/>
  <c r="M63" i="3"/>
  <c r="M64" i="3"/>
  <c r="M65" i="3"/>
  <c r="I44" i="3"/>
  <c r="J44" i="3" s="1"/>
  <c r="P62" i="3"/>
  <c r="P50" i="3"/>
  <c r="P44" i="3"/>
  <c r="P41" i="3"/>
  <c r="P37" i="3"/>
  <c r="P21" i="3"/>
  <c r="P16" i="3"/>
  <c r="P9" i="3"/>
  <c r="P8" i="3" s="1"/>
  <c r="I62" i="3"/>
  <c r="I59" i="3"/>
  <c r="I60" i="35" s="1"/>
  <c r="I56" i="3"/>
  <c r="I50" i="3"/>
  <c r="J50" i="3" s="1"/>
  <c r="I41" i="3"/>
  <c r="I37" i="3"/>
  <c r="I28" i="3"/>
  <c r="I25" i="3"/>
  <c r="I22" i="3"/>
  <c r="J22" i="3" s="1"/>
  <c r="J21" i="3" s="1"/>
  <c r="I16" i="3"/>
  <c r="I9" i="3"/>
  <c r="L50" i="37"/>
  <c r="N50" i="37" s="1"/>
  <c r="L51" i="37"/>
  <c r="N51" i="37" s="1"/>
  <c r="L54" i="37"/>
  <c r="N54" i="37" s="1"/>
  <c r="L55" i="37"/>
  <c r="N55" i="37" s="1"/>
  <c r="L56" i="37"/>
  <c r="N56" i="37" s="1"/>
  <c r="D9" i="37"/>
  <c r="F9" i="37" s="1"/>
  <c r="D10" i="37"/>
  <c r="F10" i="37" s="1"/>
  <c r="D11" i="37"/>
  <c r="F11" i="37" s="1"/>
  <c r="D12" i="37"/>
  <c r="F12" i="37" s="1"/>
  <c r="D13" i="37"/>
  <c r="F13" i="37" s="1"/>
  <c r="D14" i="37"/>
  <c r="F14" i="37" s="1"/>
  <c r="D15" i="37"/>
  <c r="F15" i="37" s="1"/>
  <c r="D16" i="37"/>
  <c r="F16" i="37" s="1"/>
  <c r="D17" i="37"/>
  <c r="F17" i="37" s="1"/>
  <c r="D18" i="37"/>
  <c r="F18" i="37" s="1"/>
  <c r="D20" i="37"/>
  <c r="F20" i="37" s="1"/>
  <c r="D21" i="37"/>
  <c r="F21" i="37" s="1"/>
  <c r="D22" i="37"/>
  <c r="F22" i="37" s="1"/>
  <c r="D24" i="37"/>
  <c r="F24" i="37" s="1"/>
  <c r="D27" i="37"/>
  <c r="F27" i="37" s="1"/>
  <c r="D28" i="37"/>
  <c r="F28" i="37" s="1"/>
  <c r="D29" i="37"/>
  <c r="F29" i="37" s="1"/>
  <c r="D30" i="37"/>
  <c r="F30" i="37" s="1"/>
  <c r="D31" i="37"/>
  <c r="F31" i="37" s="1"/>
  <c r="D32" i="37"/>
  <c r="F32" i="37" s="1"/>
  <c r="D33" i="37"/>
  <c r="F33" i="37" s="1"/>
  <c r="D34" i="37"/>
  <c r="F34" i="37" s="1"/>
  <c r="D35" i="37"/>
  <c r="F35" i="37" s="1"/>
  <c r="D38" i="37"/>
  <c r="F38" i="37" s="1"/>
  <c r="D39" i="37"/>
  <c r="F39" i="37" s="1"/>
  <c r="D40" i="37"/>
  <c r="F40" i="37" s="1"/>
  <c r="D41" i="37"/>
  <c r="F41" i="37" s="1"/>
  <c r="D42" i="37"/>
  <c r="F42" i="37" s="1"/>
  <c r="D43" i="37"/>
  <c r="F43" i="37" s="1"/>
  <c r="D48" i="37"/>
  <c r="F48" i="37" s="1"/>
  <c r="D49" i="37"/>
  <c r="F49" i="37" s="1"/>
  <c r="D50" i="37"/>
  <c r="F50" i="37" s="1"/>
  <c r="D51" i="37"/>
  <c r="F51" i="37" s="1"/>
  <c r="D52" i="37"/>
  <c r="F52" i="37" s="1"/>
  <c r="D53" i="37"/>
  <c r="F53" i="37" s="1"/>
  <c r="D54" i="37"/>
  <c r="F54" i="37" s="1"/>
  <c r="D55" i="37"/>
  <c r="F55" i="37" s="1"/>
  <c r="D56" i="37"/>
  <c r="F56" i="37" s="1"/>
  <c r="D57" i="37"/>
  <c r="F57" i="37" s="1"/>
  <c r="K57" i="37"/>
  <c r="K53" i="37"/>
  <c r="K29" i="37"/>
  <c r="K13" i="37"/>
  <c r="E11" i="11"/>
  <c r="E14" i="11"/>
  <c r="E15" i="11"/>
  <c r="E19" i="11"/>
  <c r="E20" i="11"/>
  <c r="E21" i="11"/>
  <c r="E23" i="11"/>
  <c r="E24" i="11"/>
  <c r="E25" i="11"/>
  <c r="E26" i="11"/>
  <c r="E27" i="11"/>
  <c r="K15" i="11"/>
  <c r="K17" i="11"/>
  <c r="K18" i="11"/>
  <c r="K19" i="11"/>
  <c r="K20" i="11"/>
  <c r="K21" i="11"/>
  <c r="K22" i="11"/>
  <c r="K23" i="11"/>
  <c r="K24" i="11"/>
  <c r="K25" i="11"/>
  <c r="J12" i="11"/>
  <c r="J16" i="11" s="1"/>
  <c r="E11" i="12"/>
  <c r="E12" i="12"/>
  <c r="E13" i="12"/>
  <c r="E14" i="12"/>
  <c r="E15" i="12"/>
  <c r="E19" i="12"/>
  <c r="E20" i="12"/>
  <c r="E21" i="12"/>
  <c r="E22" i="12"/>
  <c r="E24" i="12"/>
  <c r="E25" i="12"/>
  <c r="E26" i="12"/>
  <c r="E27" i="12"/>
  <c r="E28" i="12"/>
  <c r="K10" i="12"/>
  <c r="K12" i="12"/>
  <c r="K13" i="12"/>
  <c r="K14" i="12"/>
  <c r="K15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8" i="12"/>
  <c r="J8" i="12"/>
  <c r="F8" i="13"/>
  <c r="H8" i="13" s="1"/>
  <c r="F7" i="13"/>
  <c r="H7" i="13" s="1"/>
  <c r="C28" i="36"/>
  <c r="O28" i="36" s="1"/>
  <c r="O27" i="36"/>
  <c r="N26" i="36"/>
  <c r="M26" i="36"/>
  <c r="L26" i="36"/>
  <c r="K26" i="36"/>
  <c r="J26" i="36"/>
  <c r="I26" i="36"/>
  <c r="H26" i="36"/>
  <c r="G26" i="36"/>
  <c r="F26" i="36"/>
  <c r="E26" i="36"/>
  <c r="D26" i="36"/>
  <c r="C26" i="36"/>
  <c r="N25" i="36"/>
  <c r="M25" i="36"/>
  <c r="L25" i="36"/>
  <c r="K25" i="36"/>
  <c r="J25" i="36"/>
  <c r="I25" i="36"/>
  <c r="H25" i="36"/>
  <c r="G25" i="36"/>
  <c r="F25" i="36"/>
  <c r="E25" i="36"/>
  <c r="D25" i="36"/>
  <c r="C25" i="36"/>
  <c r="N24" i="36"/>
  <c r="M24" i="36"/>
  <c r="L24" i="36"/>
  <c r="K24" i="36"/>
  <c r="J24" i="36"/>
  <c r="I24" i="36"/>
  <c r="H24" i="36"/>
  <c r="G24" i="36"/>
  <c r="F24" i="36"/>
  <c r="E24" i="36"/>
  <c r="D24" i="36"/>
  <c r="C24" i="36"/>
  <c r="N23" i="36"/>
  <c r="M23" i="36"/>
  <c r="L23" i="36"/>
  <c r="K23" i="36"/>
  <c r="J23" i="36"/>
  <c r="I23" i="36"/>
  <c r="H23" i="36"/>
  <c r="G23" i="36"/>
  <c r="F23" i="36"/>
  <c r="E23" i="36"/>
  <c r="D23" i="36"/>
  <c r="C23" i="36"/>
  <c r="O22" i="36"/>
  <c r="N21" i="36"/>
  <c r="M21" i="36"/>
  <c r="L21" i="36"/>
  <c r="K21" i="36"/>
  <c r="J21" i="36"/>
  <c r="I21" i="36"/>
  <c r="H21" i="36"/>
  <c r="G21" i="36"/>
  <c r="F21" i="36"/>
  <c r="E21" i="36"/>
  <c r="D21" i="36"/>
  <c r="C21" i="36"/>
  <c r="N20" i="36"/>
  <c r="M20" i="36"/>
  <c r="L20" i="36"/>
  <c r="K20" i="36"/>
  <c r="J20" i="36"/>
  <c r="I20" i="36"/>
  <c r="H20" i="36"/>
  <c r="G20" i="36"/>
  <c r="F20" i="36"/>
  <c r="E20" i="36"/>
  <c r="D20" i="36"/>
  <c r="C20" i="36"/>
  <c r="N19" i="36"/>
  <c r="M19" i="36"/>
  <c r="L19" i="36"/>
  <c r="K19" i="36"/>
  <c r="J19" i="36"/>
  <c r="I19" i="36"/>
  <c r="H19" i="36"/>
  <c r="G19" i="36"/>
  <c r="F19" i="36"/>
  <c r="E19" i="36"/>
  <c r="D19" i="36"/>
  <c r="C19" i="36"/>
  <c r="N18" i="36"/>
  <c r="M18" i="36"/>
  <c r="L18" i="36"/>
  <c r="K18" i="36"/>
  <c r="J18" i="36"/>
  <c r="I18" i="36"/>
  <c r="H18" i="36"/>
  <c r="F18" i="36"/>
  <c r="E18" i="36"/>
  <c r="D18" i="36"/>
  <c r="C18" i="36"/>
  <c r="O15" i="36"/>
  <c r="O14" i="36"/>
  <c r="N13" i="36"/>
  <c r="M13" i="36"/>
  <c r="L13" i="36"/>
  <c r="K13" i="36"/>
  <c r="J13" i="36"/>
  <c r="I13" i="36"/>
  <c r="H13" i="36"/>
  <c r="F13" i="36"/>
  <c r="E13" i="36"/>
  <c r="D13" i="36"/>
  <c r="C13" i="36"/>
  <c r="E12" i="36"/>
  <c r="O12" i="36" s="1"/>
  <c r="O11" i="36"/>
  <c r="O10" i="36"/>
  <c r="N9" i="36"/>
  <c r="M9" i="36"/>
  <c r="L9" i="36"/>
  <c r="K9" i="36"/>
  <c r="J9" i="36"/>
  <c r="I9" i="36"/>
  <c r="H9" i="36"/>
  <c r="F9" i="36"/>
  <c r="E9" i="36"/>
  <c r="D9" i="36"/>
  <c r="C9" i="36"/>
  <c r="N8" i="36"/>
  <c r="M8" i="36"/>
  <c r="L8" i="36"/>
  <c r="K8" i="36"/>
  <c r="J8" i="36"/>
  <c r="I8" i="36"/>
  <c r="H8" i="36"/>
  <c r="G8" i="36"/>
  <c r="F8" i="36"/>
  <c r="E8" i="36"/>
  <c r="D8" i="36"/>
  <c r="C8" i="36"/>
  <c r="N7" i="36"/>
  <c r="M7" i="36"/>
  <c r="L7" i="36"/>
  <c r="K7" i="36"/>
  <c r="J7" i="36"/>
  <c r="I7" i="36"/>
  <c r="H7" i="36"/>
  <c r="G7" i="36"/>
  <c r="F7" i="36"/>
  <c r="E7" i="36"/>
  <c r="D7" i="36"/>
  <c r="C7" i="36"/>
  <c r="C6" i="36"/>
  <c r="I28" i="19"/>
  <c r="I29" i="19"/>
  <c r="I30" i="19"/>
  <c r="I31" i="19"/>
  <c r="I32" i="19"/>
  <c r="I33" i="19"/>
  <c r="I27" i="19"/>
  <c r="H34" i="19"/>
  <c r="H35" i="19" s="1"/>
  <c r="G12" i="31"/>
  <c r="G10" i="31"/>
  <c r="F24" i="31"/>
  <c r="F11" i="31"/>
  <c r="C65" i="36" l="1"/>
  <c r="D40" i="36" s="1"/>
  <c r="D65" i="36" s="1"/>
  <c r="E40" i="36" s="1"/>
  <c r="E65" i="36" s="1"/>
  <c r="F40" i="36" s="1"/>
  <c r="F65" i="36" s="1"/>
  <c r="G40" i="36" s="1"/>
  <c r="G65" i="36" s="1"/>
  <c r="H40" i="36" s="1"/>
  <c r="H11" i="13"/>
  <c r="G62" i="8"/>
  <c r="G67" i="8" s="1"/>
  <c r="G55" i="8"/>
  <c r="G50" i="8"/>
  <c r="F38" i="8"/>
  <c r="F69" i="8" s="1"/>
  <c r="I44" i="34"/>
  <c r="J44" i="34" s="1"/>
  <c r="J47" i="34"/>
  <c r="K40" i="37"/>
  <c r="K49" i="37" s="1"/>
  <c r="K58" i="37" s="1"/>
  <c r="E22" i="11"/>
  <c r="F11" i="13"/>
  <c r="M50" i="35"/>
  <c r="J50" i="35"/>
  <c r="N50" i="35" s="1"/>
  <c r="J61" i="3"/>
  <c r="J66" i="3" s="1"/>
  <c r="J20" i="35"/>
  <c r="I26" i="34"/>
  <c r="J26" i="34" s="1"/>
  <c r="I26" i="21"/>
  <c r="J26" i="21" s="1"/>
  <c r="K26" i="21" s="1"/>
  <c r="J22" i="21"/>
  <c r="K22" i="21" s="1"/>
  <c r="D30" i="11"/>
  <c r="J30" i="11"/>
  <c r="O50" i="36"/>
  <c r="O64" i="36"/>
  <c r="H65" i="36"/>
  <c r="I40" i="36" s="1"/>
  <c r="I65" i="36" s="1"/>
  <c r="J40" i="36" s="1"/>
  <c r="J65" i="36" s="1"/>
  <c r="K40" i="36" s="1"/>
  <c r="K65" i="36" s="1"/>
  <c r="L40" i="36" s="1"/>
  <c r="L65" i="36" s="1"/>
  <c r="M40" i="36" s="1"/>
  <c r="M65" i="36" s="1"/>
  <c r="N40" i="36" s="1"/>
  <c r="N65" i="36" s="1"/>
  <c r="J16" i="36"/>
  <c r="N16" i="36"/>
  <c r="F16" i="36"/>
  <c r="C30" i="36"/>
  <c r="G30" i="36"/>
  <c r="K30" i="36"/>
  <c r="H16" i="36"/>
  <c r="I21" i="3"/>
  <c r="I41" i="35"/>
  <c r="D16" i="36"/>
  <c r="P61" i="3"/>
  <c r="P66" i="3" s="1"/>
  <c r="I44" i="35"/>
  <c r="L16" i="36"/>
  <c r="E30" i="36"/>
  <c r="I30" i="36"/>
  <c r="M30" i="36"/>
  <c r="N8" i="3"/>
  <c r="I57" i="35"/>
  <c r="L61" i="3"/>
  <c r="L66" i="3" s="1"/>
  <c r="I43" i="2"/>
  <c r="I51" i="35"/>
  <c r="P62" i="35"/>
  <c r="P67" i="35" s="1"/>
  <c r="P43" i="34"/>
  <c r="P49" i="34" s="1"/>
  <c r="L43" i="34"/>
  <c r="L49" i="34" s="1"/>
  <c r="O37" i="8"/>
  <c r="P43" i="2"/>
  <c r="P49" i="2" s="1"/>
  <c r="L62" i="35"/>
  <c r="I8" i="34"/>
  <c r="F25" i="31"/>
  <c r="O29" i="8"/>
  <c r="J16" i="12"/>
  <c r="K26" i="2"/>
  <c r="K21" i="3"/>
  <c r="J28" i="11"/>
  <c r="J29" i="11" s="1"/>
  <c r="O13" i="36"/>
  <c r="O19" i="36"/>
  <c r="O20" i="36"/>
  <c r="O21" i="36"/>
  <c r="C16" i="36"/>
  <c r="E16" i="36"/>
  <c r="G16" i="36"/>
  <c r="I16" i="36"/>
  <c r="K16" i="36"/>
  <c r="M16" i="36"/>
  <c r="O8" i="36"/>
  <c r="O9" i="36"/>
  <c r="D30" i="36"/>
  <c r="F30" i="36"/>
  <c r="H30" i="36"/>
  <c r="J30" i="36"/>
  <c r="L30" i="36"/>
  <c r="N30" i="36"/>
  <c r="O23" i="36"/>
  <c r="O24" i="36"/>
  <c r="O25" i="36"/>
  <c r="O26" i="36"/>
  <c r="C31" i="36"/>
  <c r="D6" i="36" s="1"/>
  <c r="D31" i="36" s="1"/>
  <c r="E6" i="36" s="1"/>
  <c r="E31" i="36" s="1"/>
  <c r="F6" i="36" s="1"/>
  <c r="O18" i="36"/>
  <c r="O7" i="36"/>
  <c r="G20" i="2"/>
  <c r="O20" i="2" s="1"/>
  <c r="J31" i="11" l="1"/>
  <c r="J44" i="35"/>
  <c r="J51" i="35"/>
  <c r="J31" i="12"/>
  <c r="D31" i="12"/>
  <c r="I49" i="34"/>
  <c r="J8" i="34"/>
  <c r="I49" i="2"/>
  <c r="I61" i="3"/>
  <c r="I66" i="3" s="1"/>
  <c r="I21" i="35"/>
  <c r="O16" i="36"/>
  <c r="K43" i="2"/>
  <c r="K49" i="2" s="1"/>
  <c r="I8" i="35"/>
  <c r="J8" i="35" s="1"/>
  <c r="O30" i="36"/>
  <c r="K62" i="35"/>
  <c r="O38" i="8"/>
  <c r="J30" i="12"/>
  <c r="K61" i="3"/>
  <c r="F31" i="36"/>
  <c r="G6" i="36" s="1"/>
  <c r="G31" i="36" s="1"/>
  <c r="H6" i="36" s="1"/>
  <c r="H31" i="36" s="1"/>
  <c r="I6" i="36" s="1"/>
  <c r="I31" i="36" s="1"/>
  <c r="J6" i="36" s="1"/>
  <c r="J31" i="36" s="1"/>
  <c r="K6" i="36" s="1"/>
  <c r="K31" i="36" s="1"/>
  <c r="L6" i="36" s="1"/>
  <c r="L31" i="36" s="1"/>
  <c r="M6" i="36" s="1"/>
  <c r="M31" i="36" s="1"/>
  <c r="N6" i="36" s="1"/>
  <c r="N31" i="36" s="1"/>
  <c r="J21" i="35" l="1"/>
  <c r="J49" i="34"/>
  <c r="I67" i="35"/>
  <c r="K43" i="34"/>
  <c r="K66" i="3"/>
  <c r="D31" i="11"/>
  <c r="J57" i="37"/>
  <c r="L57" i="37" s="1"/>
  <c r="N57" i="37" s="1"/>
  <c r="I57" i="37"/>
  <c r="H56" i="37"/>
  <c r="H57" i="37" s="1"/>
  <c r="H52" i="37"/>
  <c r="I52" i="37" s="1"/>
  <c r="H45" i="37"/>
  <c r="I45" i="37" s="1"/>
  <c r="I43" i="37"/>
  <c r="J43" i="37" s="1"/>
  <c r="L43" i="37" s="1"/>
  <c r="N43" i="37" s="1"/>
  <c r="I42" i="37"/>
  <c r="J42" i="37" s="1"/>
  <c r="L42" i="37" s="1"/>
  <c r="N42" i="37" s="1"/>
  <c r="I41" i="37"/>
  <c r="J41" i="37" s="1"/>
  <c r="H38" i="37"/>
  <c r="I38" i="37" s="1"/>
  <c r="L38" i="37" s="1"/>
  <c r="N38" i="37" s="1"/>
  <c r="J35" i="37"/>
  <c r="L35" i="37" s="1"/>
  <c r="N35" i="37" s="1"/>
  <c r="I34" i="37"/>
  <c r="J34" i="37" s="1"/>
  <c r="L34" i="37" s="1"/>
  <c r="N34" i="37" s="1"/>
  <c r="J33" i="37"/>
  <c r="L33" i="37" s="1"/>
  <c r="N33" i="37" s="1"/>
  <c r="H32" i="37"/>
  <c r="H31" i="37"/>
  <c r="I30" i="37"/>
  <c r="J30" i="37" s="1"/>
  <c r="L30" i="37" s="1"/>
  <c r="N30" i="37" s="1"/>
  <c r="H28" i="37"/>
  <c r="H27" i="37"/>
  <c r="J27" i="37" s="1"/>
  <c r="L27" i="37" s="1"/>
  <c r="N27" i="37" s="1"/>
  <c r="H26" i="37"/>
  <c r="H24" i="37"/>
  <c r="I24" i="37" s="1"/>
  <c r="J22" i="37"/>
  <c r="L22" i="37" s="1"/>
  <c r="N22" i="37" s="1"/>
  <c r="J21" i="37"/>
  <c r="L21" i="37" s="1"/>
  <c r="N21" i="37" s="1"/>
  <c r="J20" i="37"/>
  <c r="L20" i="37" s="1"/>
  <c r="N20" i="37" s="1"/>
  <c r="I18" i="37"/>
  <c r="J18" i="37" s="1"/>
  <c r="L18" i="37" s="1"/>
  <c r="N18" i="37" s="1"/>
  <c r="I17" i="37"/>
  <c r="J17" i="37" s="1"/>
  <c r="L17" i="37" s="1"/>
  <c r="N17" i="37" s="1"/>
  <c r="I16" i="37"/>
  <c r="J15" i="37"/>
  <c r="L15" i="37" s="1"/>
  <c r="N15" i="37" s="1"/>
  <c r="J14" i="37"/>
  <c r="L14" i="37" s="1"/>
  <c r="N14" i="37" s="1"/>
  <c r="H12" i="37"/>
  <c r="H13" i="37" s="1"/>
  <c r="I11" i="37"/>
  <c r="J11" i="37" s="1"/>
  <c r="L11" i="37" s="1"/>
  <c r="N11" i="37" s="1"/>
  <c r="I10" i="37"/>
  <c r="J10" i="37" s="1"/>
  <c r="L10" i="37" s="1"/>
  <c r="N10" i="37" s="1"/>
  <c r="I9" i="37"/>
  <c r="J9" i="37" s="1"/>
  <c r="K49" i="34" l="1"/>
  <c r="J67" i="35"/>
  <c r="H29" i="37"/>
  <c r="H48" i="37"/>
  <c r="J12" i="37"/>
  <c r="L12" i="37" s="1"/>
  <c r="N12" i="37" s="1"/>
  <c r="I13" i="37"/>
  <c r="L9" i="37"/>
  <c r="N9" i="37" s="1"/>
  <c r="J24" i="37"/>
  <c r="L24" i="37" s="1"/>
  <c r="N24" i="37" s="1"/>
  <c r="I26" i="37"/>
  <c r="J26" i="37" s="1"/>
  <c r="L26" i="37" s="1"/>
  <c r="N26" i="37" s="1"/>
  <c r="I48" i="37"/>
  <c r="L41" i="37"/>
  <c r="N41" i="37" s="1"/>
  <c r="I25" i="37"/>
  <c r="H25" i="37"/>
  <c r="I32" i="37"/>
  <c r="J32" i="37" s="1"/>
  <c r="L32" i="37" s="1"/>
  <c r="N32" i="37" s="1"/>
  <c r="I53" i="37"/>
  <c r="J52" i="37"/>
  <c r="J16" i="37"/>
  <c r="L16" i="37" s="1"/>
  <c r="I28" i="37"/>
  <c r="J28" i="37" s="1"/>
  <c r="L28" i="37" s="1"/>
  <c r="N28" i="37" s="1"/>
  <c r="I31" i="37"/>
  <c r="H39" i="37"/>
  <c r="H53" i="37"/>
  <c r="L25" i="37" l="1"/>
  <c r="N16" i="37"/>
  <c r="N25" i="37" s="1"/>
  <c r="H40" i="37"/>
  <c r="H49" i="37" s="1"/>
  <c r="H58" i="37" s="1"/>
  <c r="J13" i="37"/>
  <c r="J25" i="37"/>
  <c r="I39" i="37"/>
  <c r="J53" i="37"/>
  <c r="L53" i="37" s="1"/>
  <c r="N53" i="37" s="1"/>
  <c r="L52" i="37"/>
  <c r="N52" i="37" s="1"/>
  <c r="J29" i="37"/>
  <c r="J31" i="37"/>
  <c r="I29" i="37"/>
  <c r="I40" i="37" l="1"/>
  <c r="I49" i="37" s="1"/>
  <c r="I58" i="37" s="1"/>
  <c r="L13" i="37"/>
  <c r="N13" i="37" s="1"/>
  <c r="L29" i="37"/>
  <c r="N29" i="37" s="1"/>
  <c r="J39" i="37"/>
  <c r="J40" i="37" s="1"/>
  <c r="L31" i="37"/>
  <c r="L39" i="37" l="1"/>
  <c r="N31" i="37"/>
  <c r="N39" i="37" s="1"/>
  <c r="N40" i="37" s="1"/>
  <c r="L40" i="37"/>
  <c r="J49" i="37" l="1"/>
  <c r="D25" i="31"/>
  <c r="J58" i="37" l="1"/>
  <c r="L49" i="37"/>
  <c r="N49" i="37" s="1"/>
  <c r="C11" i="31"/>
  <c r="C24" i="31"/>
  <c r="C44" i="6"/>
  <c r="D44" i="6"/>
  <c r="D43" i="6"/>
  <c r="C38" i="21"/>
  <c r="C47" i="21"/>
  <c r="C45" i="21"/>
  <c r="C44" i="21"/>
  <c r="C43" i="6" s="1"/>
  <c r="F20" i="2"/>
  <c r="N20" i="2" s="1"/>
  <c r="V20" i="2" s="1"/>
  <c r="B8" i="37" l="1"/>
  <c r="L58" i="37"/>
  <c r="N58" i="37" s="1"/>
  <c r="C25" i="31"/>
  <c r="F10" i="3"/>
  <c r="N10" i="3" s="1"/>
  <c r="F11" i="3"/>
  <c r="N11" i="3" s="1"/>
  <c r="F12" i="3"/>
  <c r="N12" i="3" s="1"/>
  <c r="F13" i="3"/>
  <c r="N13" i="3" s="1"/>
  <c r="F14" i="3"/>
  <c r="N14" i="3" s="1"/>
  <c r="F15" i="3"/>
  <c r="N15" i="3" s="1"/>
  <c r="F17" i="3"/>
  <c r="N17" i="3" s="1"/>
  <c r="F18" i="3"/>
  <c r="N18" i="3" s="1"/>
  <c r="F19" i="3"/>
  <c r="N19" i="3" s="1"/>
  <c r="F20" i="3"/>
  <c r="N20" i="3" s="1"/>
  <c r="F23" i="3"/>
  <c r="N23" i="3" s="1"/>
  <c r="F24" i="3"/>
  <c r="N24" i="3" s="1"/>
  <c r="F26" i="3"/>
  <c r="N26" i="3" s="1"/>
  <c r="F27" i="3"/>
  <c r="N27" i="3" s="1"/>
  <c r="F29" i="3"/>
  <c r="N29" i="3" s="1"/>
  <c r="F30" i="3"/>
  <c r="N30" i="3" s="1"/>
  <c r="F31" i="3"/>
  <c r="N31" i="3" s="1"/>
  <c r="F32" i="3"/>
  <c r="N32" i="3" s="1"/>
  <c r="F33" i="3"/>
  <c r="N33" i="3" s="1"/>
  <c r="F34" i="3"/>
  <c r="N34" i="3" s="1"/>
  <c r="F35" i="3"/>
  <c r="N35" i="3" s="1"/>
  <c r="F36" i="3"/>
  <c r="N36" i="3" s="1"/>
  <c r="F38" i="3"/>
  <c r="N38" i="3" s="1"/>
  <c r="F39" i="3"/>
  <c r="N39" i="3" s="1"/>
  <c r="F40" i="3"/>
  <c r="N40" i="3" s="1"/>
  <c r="F42" i="3"/>
  <c r="N42" i="3" s="1"/>
  <c r="F43" i="3"/>
  <c r="N43" i="3" s="1"/>
  <c r="F45" i="3"/>
  <c r="N45" i="3" s="1"/>
  <c r="F46" i="3"/>
  <c r="N46" i="3" s="1"/>
  <c r="F47" i="3"/>
  <c r="N47" i="3" s="1"/>
  <c r="F48" i="3"/>
  <c r="N48" i="3" s="1"/>
  <c r="F49" i="3"/>
  <c r="N49" i="3" s="1"/>
  <c r="F51" i="3"/>
  <c r="N51" i="3" s="1"/>
  <c r="F52" i="3"/>
  <c r="N52" i="3" s="1"/>
  <c r="F53" i="3"/>
  <c r="N53" i="3" s="1"/>
  <c r="F54" i="3"/>
  <c r="N54" i="3" s="1"/>
  <c r="F55" i="3"/>
  <c r="N55" i="3" s="1"/>
  <c r="F57" i="3"/>
  <c r="N57" i="3" s="1"/>
  <c r="F58" i="3"/>
  <c r="N58" i="3" s="1"/>
  <c r="F60" i="3"/>
  <c r="N60" i="3" s="1"/>
  <c r="F63" i="3"/>
  <c r="N63" i="3" s="1"/>
  <c r="F64" i="3"/>
  <c r="N64" i="3" s="1"/>
  <c r="F65" i="3"/>
  <c r="N65" i="3" s="1"/>
  <c r="H44" i="2"/>
  <c r="G44" i="2"/>
  <c r="O44" i="2" s="1"/>
  <c r="F44" i="2"/>
  <c r="N44" i="2" s="1"/>
  <c r="E44" i="2"/>
  <c r="D44" i="2"/>
  <c r="C44" i="2"/>
  <c r="G41" i="2"/>
  <c r="O41" i="2" s="1"/>
  <c r="F41" i="2"/>
  <c r="N41" i="2" s="1"/>
  <c r="E41" i="2"/>
  <c r="M41" i="2" s="1"/>
  <c r="D41" i="2"/>
  <c r="C41" i="2"/>
  <c r="F39" i="2"/>
  <c r="N39" i="2" s="1"/>
  <c r="E39" i="2"/>
  <c r="M39" i="2" s="1"/>
  <c r="D39" i="2"/>
  <c r="C39" i="2"/>
  <c r="H36" i="2"/>
  <c r="G36" i="2"/>
  <c r="O36" i="2" s="1"/>
  <c r="F36" i="2"/>
  <c r="N36" i="2" s="1"/>
  <c r="E36" i="2"/>
  <c r="M36" i="2" s="1"/>
  <c r="D36" i="2"/>
  <c r="C36" i="2"/>
  <c r="D35" i="2"/>
  <c r="C31" i="2"/>
  <c r="D30" i="2"/>
  <c r="D28" i="2"/>
  <c r="G27" i="2"/>
  <c r="D27" i="2"/>
  <c r="H26" i="2"/>
  <c r="E26" i="2"/>
  <c r="M26" i="2" s="1"/>
  <c r="D26" i="2"/>
  <c r="C26" i="2"/>
  <c r="D25" i="2"/>
  <c r="G21" i="2"/>
  <c r="O21" i="2" s="1"/>
  <c r="F21" i="2"/>
  <c r="E21" i="2"/>
  <c r="D21" i="2"/>
  <c r="D19" i="2" s="1"/>
  <c r="C21" i="2"/>
  <c r="H19" i="2"/>
  <c r="C19" i="2"/>
  <c r="D18" i="2"/>
  <c r="D16" i="2" s="1"/>
  <c r="H16" i="2"/>
  <c r="G16" i="2"/>
  <c r="O16" i="2" s="1"/>
  <c r="F16" i="2"/>
  <c r="N16" i="2" s="1"/>
  <c r="E16" i="2"/>
  <c r="M16" i="2" s="1"/>
  <c r="C16" i="2"/>
  <c r="D14" i="2"/>
  <c r="D9" i="2" s="1"/>
  <c r="D8" i="2" s="1"/>
  <c r="C14" i="2"/>
  <c r="D12" i="2"/>
  <c r="C12" i="2"/>
  <c r="C9" i="2" s="1"/>
  <c r="C8" i="2" s="1"/>
  <c r="C43" i="2" s="1"/>
  <c r="C49" i="2" s="1"/>
  <c r="M9" i="2"/>
  <c r="H8" i="2"/>
  <c r="G8" i="2"/>
  <c r="O8" i="2" s="1"/>
  <c r="E8" i="2"/>
  <c r="F19" i="2" l="1"/>
  <c r="N19" i="2" s="1"/>
  <c r="N21" i="2"/>
  <c r="F27" i="2"/>
  <c r="N27" i="2" s="1"/>
  <c r="O27" i="2"/>
  <c r="F8" i="2"/>
  <c r="N9" i="2"/>
  <c r="D43" i="2"/>
  <c r="D49" i="2" s="1"/>
  <c r="M8" i="2"/>
  <c r="M44" i="2"/>
  <c r="B58" i="37"/>
  <c r="D8" i="37"/>
  <c r="H43" i="2"/>
  <c r="H49" i="2" s="1"/>
  <c r="G19" i="2"/>
  <c r="O19" i="2" s="1"/>
  <c r="W19" i="2" s="1"/>
  <c r="E19" i="2"/>
  <c r="M19" i="2" s="1"/>
  <c r="M21" i="2"/>
  <c r="G31" i="2"/>
  <c r="O31" i="2" s="1"/>
  <c r="D58" i="37" l="1"/>
  <c r="F8" i="37"/>
  <c r="F58" i="37" s="1"/>
  <c r="N8" i="2"/>
  <c r="E43" i="2"/>
  <c r="F31" i="2"/>
  <c r="G26" i="2"/>
  <c r="E49" i="2" l="1"/>
  <c r="M49" i="2" s="1"/>
  <c r="M43" i="2"/>
  <c r="G43" i="2"/>
  <c r="O26" i="2"/>
  <c r="F26" i="2"/>
  <c r="N31" i="2"/>
  <c r="G62" i="3"/>
  <c r="O62" i="3" s="1"/>
  <c r="G56" i="3"/>
  <c r="O56" i="3" s="1"/>
  <c r="G50" i="3"/>
  <c r="O50" i="3" s="1"/>
  <c r="G44" i="3"/>
  <c r="O44" i="3" s="1"/>
  <c r="G37" i="3"/>
  <c r="O37" i="3" s="1"/>
  <c r="G28" i="3"/>
  <c r="O28" i="3" s="1"/>
  <c r="G25" i="3"/>
  <c r="O25" i="3" s="1"/>
  <c r="G22" i="3"/>
  <c r="O22" i="3" s="1"/>
  <c r="G16" i="3"/>
  <c r="O16" i="3" s="1"/>
  <c r="G9" i="3"/>
  <c r="E37" i="3"/>
  <c r="E28" i="3"/>
  <c r="M28" i="3" l="1"/>
  <c r="F28" i="3"/>
  <c r="N28" i="3" s="1"/>
  <c r="F43" i="2"/>
  <c r="N26" i="2"/>
  <c r="G49" i="2"/>
  <c r="O49" i="2" s="1"/>
  <c r="W49" i="2" s="1"/>
  <c r="O43" i="2"/>
  <c r="W43" i="2" s="1"/>
  <c r="M37" i="3"/>
  <c r="F37" i="3"/>
  <c r="N37" i="3" s="1"/>
  <c r="G8" i="3"/>
  <c r="O8" i="3" s="1"/>
  <c r="O9" i="3"/>
  <c r="G21" i="3"/>
  <c r="F49" i="2" l="1"/>
  <c r="N49" i="2" s="1"/>
  <c r="N43" i="2"/>
  <c r="O21" i="3"/>
  <c r="D60" i="3"/>
  <c r="C60" i="3"/>
  <c r="D48" i="3"/>
  <c r="C48" i="3"/>
  <c r="D46" i="3"/>
  <c r="D43" i="3"/>
  <c r="D36" i="3"/>
  <c r="C36" i="3"/>
  <c r="D35" i="3"/>
  <c r="D33" i="3"/>
  <c r="D9" i="6"/>
  <c r="E9" i="6"/>
  <c r="C9" i="6"/>
  <c r="F32" i="22"/>
  <c r="F33" i="22"/>
  <c r="F34" i="22"/>
  <c r="F36" i="22"/>
  <c r="F37" i="22"/>
  <c r="F38" i="22"/>
  <c r="F39" i="22"/>
  <c r="F40" i="22"/>
  <c r="F42" i="22"/>
  <c r="F44" i="22"/>
  <c r="F45" i="22"/>
  <c r="F46" i="22"/>
  <c r="F47" i="22"/>
  <c r="F10" i="22"/>
  <c r="F12" i="22"/>
  <c r="F14" i="22"/>
  <c r="F15" i="22"/>
  <c r="F16" i="22"/>
  <c r="F17" i="22"/>
  <c r="F18" i="22"/>
  <c r="F19" i="22"/>
  <c r="F21" i="22"/>
  <c r="F24" i="22"/>
  <c r="E36" i="21"/>
  <c r="F36" i="21" s="1"/>
  <c r="F32" i="21"/>
  <c r="F33" i="21"/>
  <c r="F34" i="21"/>
  <c r="F37" i="21"/>
  <c r="F38" i="21"/>
  <c r="F39" i="21"/>
  <c r="F40" i="21"/>
  <c r="F42" i="21"/>
  <c r="F44" i="21"/>
  <c r="F45" i="21"/>
  <c r="F46" i="21"/>
  <c r="F47" i="21"/>
  <c r="F10" i="21" l="1"/>
  <c r="F9" i="6" s="1"/>
  <c r="F12" i="21"/>
  <c r="F14" i="21"/>
  <c r="F15" i="21"/>
  <c r="F16" i="21"/>
  <c r="F17" i="21"/>
  <c r="F18" i="21"/>
  <c r="F19" i="21"/>
  <c r="F21" i="21"/>
  <c r="F24" i="21"/>
  <c r="E9" i="21"/>
  <c r="F9" i="21" s="1"/>
  <c r="D23" i="21"/>
  <c r="F20" i="34"/>
  <c r="F21" i="34"/>
  <c r="F22" i="34"/>
  <c r="F23" i="34"/>
  <c r="F24" i="34"/>
  <c r="F25" i="34"/>
  <c r="F27" i="34"/>
  <c r="F28" i="34"/>
  <c r="F29" i="34"/>
  <c r="F30" i="34"/>
  <c r="F31" i="34"/>
  <c r="F32" i="34"/>
  <c r="F33" i="34"/>
  <c r="F34" i="34"/>
  <c r="F35" i="34"/>
  <c r="F52" i="35"/>
  <c r="F53" i="35"/>
  <c r="F54" i="35"/>
  <c r="F55" i="35"/>
  <c r="F56" i="35"/>
  <c r="F58" i="35"/>
  <c r="F59" i="35"/>
  <c r="F61" i="35"/>
  <c r="F10" i="35"/>
  <c r="F11" i="35"/>
  <c r="F12" i="35"/>
  <c r="F13" i="35"/>
  <c r="F14" i="35"/>
  <c r="F15" i="35"/>
  <c r="F17" i="35"/>
  <c r="F18" i="35"/>
  <c r="F19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8" i="35"/>
  <c r="F39" i="35"/>
  <c r="F40" i="35"/>
  <c r="F42" i="35"/>
  <c r="F43" i="35"/>
  <c r="G60" i="35" l="1"/>
  <c r="G57" i="35"/>
  <c r="G20" i="35"/>
  <c r="O20" i="35" s="1"/>
  <c r="D63" i="35"/>
  <c r="E63" i="35"/>
  <c r="C63" i="35"/>
  <c r="D50" i="35"/>
  <c r="E50" i="35"/>
  <c r="F50" i="35"/>
  <c r="C50" i="35"/>
  <c r="H8" i="34"/>
  <c r="H16" i="34"/>
  <c r="H19" i="34"/>
  <c r="H26" i="34"/>
  <c r="G36" i="34"/>
  <c r="H36" i="34"/>
  <c r="G41" i="34"/>
  <c r="H41" i="34"/>
  <c r="G44" i="34"/>
  <c r="H44" i="34"/>
  <c r="G9" i="35"/>
  <c r="F9" i="35" s="1"/>
  <c r="H9" i="35"/>
  <c r="G16" i="35"/>
  <c r="F16" i="35" s="1"/>
  <c r="H16" i="35"/>
  <c r="G37" i="35"/>
  <c r="F37" i="35" s="1"/>
  <c r="H37" i="35"/>
  <c r="H21" i="35" s="1"/>
  <c r="H41" i="35"/>
  <c r="H44" i="35"/>
  <c r="H51" i="35"/>
  <c r="G63" i="35"/>
  <c r="H63" i="35"/>
  <c r="A28" i="6"/>
  <c r="C28" i="6"/>
  <c r="D28" i="6"/>
  <c r="E28" i="6"/>
  <c r="F28" i="6"/>
  <c r="F29" i="6"/>
  <c r="G29" i="6"/>
  <c r="H29" i="6"/>
  <c r="G30" i="6"/>
  <c r="C31" i="6"/>
  <c r="D31" i="6"/>
  <c r="E31" i="6"/>
  <c r="F31" i="6"/>
  <c r="C32" i="6"/>
  <c r="D32" i="6"/>
  <c r="E32" i="6"/>
  <c r="F32" i="6"/>
  <c r="C33" i="6"/>
  <c r="C20" i="35" s="1"/>
  <c r="D33" i="6"/>
  <c r="M19" i="8" s="1"/>
  <c r="E33" i="6"/>
  <c r="F33" i="6"/>
  <c r="C35" i="6"/>
  <c r="D35" i="6"/>
  <c r="E35" i="6"/>
  <c r="F35" i="6"/>
  <c r="C36" i="6"/>
  <c r="D36" i="6"/>
  <c r="E36" i="6"/>
  <c r="F36" i="6"/>
  <c r="C37" i="6"/>
  <c r="D37" i="6"/>
  <c r="E37" i="6"/>
  <c r="F37" i="6"/>
  <c r="C38" i="6"/>
  <c r="D38" i="6"/>
  <c r="E38" i="6"/>
  <c r="F38" i="6"/>
  <c r="C39" i="6"/>
  <c r="D39" i="6"/>
  <c r="E39" i="6"/>
  <c r="F39" i="6"/>
  <c r="D41" i="6"/>
  <c r="E41" i="6"/>
  <c r="F41" i="6"/>
  <c r="E43" i="6"/>
  <c r="F43" i="6"/>
  <c r="F42" i="6" s="1"/>
  <c r="E44" i="6"/>
  <c r="F44" i="6"/>
  <c r="C45" i="6"/>
  <c r="D45" i="6"/>
  <c r="D42" i="6" s="1"/>
  <c r="E45" i="6"/>
  <c r="F45" i="6"/>
  <c r="C46" i="6"/>
  <c r="D46" i="6"/>
  <c r="E46" i="6"/>
  <c r="F46" i="6"/>
  <c r="G47" i="6"/>
  <c r="H47" i="6"/>
  <c r="M32" i="8"/>
  <c r="N32" i="8"/>
  <c r="P32" i="8" s="1"/>
  <c r="L32" i="8"/>
  <c r="D36" i="8"/>
  <c r="E36" i="8"/>
  <c r="C36" i="8"/>
  <c r="C18" i="12"/>
  <c r="E18" i="12" s="1"/>
  <c r="M25" i="8"/>
  <c r="N25" i="8"/>
  <c r="P25" i="8" s="1"/>
  <c r="M15" i="8"/>
  <c r="N15" i="8"/>
  <c r="L52" i="8"/>
  <c r="M33" i="8"/>
  <c r="N33" i="8"/>
  <c r="P33" i="8" s="1"/>
  <c r="L25" i="8"/>
  <c r="L15" i="8"/>
  <c r="M11" i="8"/>
  <c r="N11" i="8"/>
  <c r="P11" i="8" s="1"/>
  <c r="L11" i="8"/>
  <c r="E17" i="12" l="1"/>
  <c r="G18" i="12"/>
  <c r="G17" i="12" s="1"/>
  <c r="G29" i="12" s="1"/>
  <c r="G36" i="8"/>
  <c r="G35" i="8" s="1"/>
  <c r="E35" i="8"/>
  <c r="I14" i="11"/>
  <c r="K14" i="11" s="1"/>
  <c r="M14" i="11" s="1"/>
  <c r="P15" i="8"/>
  <c r="C42" i="6"/>
  <c r="L47" i="8" s="1"/>
  <c r="E42" i="6"/>
  <c r="N47" i="8" s="1"/>
  <c r="P47" i="8" s="1"/>
  <c r="L19" i="8"/>
  <c r="F30" i="6"/>
  <c r="E34" i="6"/>
  <c r="F34" i="6"/>
  <c r="D34" i="6"/>
  <c r="M20" i="8" s="1"/>
  <c r="D30" i="6"/>
  <c r="M18" i="8" s="1"/>
  <c r="M47" i="8"/>
  <c r="C34" i="6"/>
  <c r="L20" i="8" s="1"/>
  <c r="C30" i="6"/>
  <c r="L18" i="8" s="1"/>
  <c r="N20" i="8"/>
  <c r="P20" i="8" s="1"/>
  <c r="N19" i="8"/>
  <c r="E20" i="35"/>
  <c r="E30" i="6"/>
  <c r="N18" i="8" s="1"/>
  <c r="P18" i="8" s="1"/>
  <c r="D20" i="35"/>
  <c r="F63" i="35"/>
  <c r="H43" i="34"/>
  <c r="H49" i="34" s="1"/>
  <c r="H8" i="35"/>
  <c r="H62" i="35" s="1"/>
  <c r="H67" i="35" s="1"/>
  <c r="F20" i="35" l="1"/>
  <c r="N20" i="35" s="1"/>
  <c r="M20" i="35"/>
  <c r="I10" i="11"/>
  <c r="K10" i="11" s="1"/>
  <c r="M10" i="11" s="1"/>
  <c r="P19" i="8"/>
  <c r="F36" i="34" l="1"/>
  <c r="N24" i="8"/>
  <c r="P24" i="8" s="1"/>
  <c r="C36" i="34" l="1"/>
  <c r="C43" i="8"/>
  <c r="D36" i="34"/>
  <c r="D43" i="8"/>
  <c r="E43" i="8"/>
  <c r="G43" i="8" s="1"/>
  <c r="E36" i="34"/>
  <c r="N52" i="8"/>
  <c r="P52" i="8" s="1"/>
  <c r="E43" i="22" l="1"/>
  <c r="F43" i="22" s="1"/>
  <c r="E14" i="6"/>
  <c r="D23" i="22"/>
  <c r="D43" i="21" l="1"/>
  <c r="E43" i="21"/>
  <c r="F43" i="21" s="1"/>
  <c r="C43" i="21"/>
  <c r="C14" i="6" l="1"/>
  <c r="D14" i="6"/>
  <c r="D15" i="6"/>
  <c r="D16" i="6"/>
  <c r="C11" i="21"/>
  <c r="E11" i="31"/>
  <c r="G11" i="31" s="1"/>
  <c r="E24" i="31"/>
  <c r="E25" i="31" l="1"/>
  <c r="G25" i="31" s="1"/>
  <c r="G24" i="31"/>
  <c r="I26" i="11" l="1"/>
  <c r="E9" i="3"/>
  <c r="E22" i="3"/>
  <c r="E59" i="3"/>
  <c r="M9" i="3" l="1"/>
  <c r="F9" i="3"/>
  <c r="N9" i="3" s="1"/>
  <c r="M59" i="3"/>
  <c r="F59" i="3"/>
  <c r="F22" i="3"/>
  <c r="N22" i="3" s="1"/>
  <c r="M22" i="3"/>
  <c r="I27" i="11"/>
  <c r="K27" i="11" s="1"/>
  <c r="M27" i="11" s="1"/>
  <c r="K26" i="11"/>
  <c r="E60" i="35"/>
  <c r="F60" i="35" s="1"/>
  <c r="N44" i="8"/>
  <c r="C9" i="11"/>
  <c r="E9" i="11" s="1"/>
  <c r="C25" i="3"/>
  <c r="D25" i="3"/>
  <c r="E56" i="3"/>
  <c r="E44" i="3"/>
  <c r="C41" i="3"/>
  <c r="D41" i="3"/>
  <c r="E41" i="3"/>
  <c r="E25" i="3"/>
  <c r="E16" i="3"/>
  <c r="L26" i="8"/>
  <c r="C24" i="6"/>
  <c r="D24" i="6"/>
  <c r="C23" i="6"/>
  <c r="D23" i="6"/>
  <c r="E23" i="6"/>
  <c r="C18" i="6"/>
  <c r="D18" i="6"/>
  <c r="E18" i="6"/>
  <c r="C17" i="6"/>
  <c r="D17" i="6"/>
  <c r="E17" i="6"/>
  <c r="C11" i="6"/>
  <c r="D11" i="6"/>
  <c r="E11" i="6"/>
  <c r="E35" i="21"/>
  <c r="F35" i="21" s="1"/>
  <c r="C41" i="22"/>
  <c r="G26" i="34"/>
  <c r="O26" i="34" s="1"/>
  <c r="C50" i="3"/>
  <c r="D50" i="3"/>
  <c r="E50" i="3"/>
  <c r="G51" i="35"/>
  <c r="O51" i="35" s="1"/>
  <c r="H50" i="3"/>
  <c r="C37" i="3"/>
  <c r="D37" i="3"/>
  <c r="G21" i="35"/>
  <c r="O21" i="35" s="1"/>
  <c r="H37" i="3"/>
  <c r="H21" i="3" s="1"/>
  <c r="H16" i="3"/>
  <c r="C16" i="3"/>
  <c r="D16" i="3"/>
  <c r="H9" i="3"/>
  <c r="C9" i="3"/>
  <c r="D9" i="3"/>
  <c r="D8" i="3" s="1"/>
  <c r="F23" i="6"/>
  <c r="F20" i="6"/>
  <c r="F14" i="6"/>
  <c r="F15" i="6"/>
  <c r="F16" i="6"/>
  <c r="F17" i="6"/>
  <c r="F18" i="6"/>
  <c r="F13" i="6"/>
  <c r="F11" i="6"/>
  <c r="F10" i="6" s="1"/>
  <c r="D9" i="22"/>
  <c r="E9" i="22"/>
  <c r="F9" i="22" s="1"/>
  <c r="G9" i="22"/>
  <c r="H9" i="22"/>
  <c r="C9" i="22"/>
  <c r="D9" i="21"/>
  <c r="G9" i="21"/>
  <c r="H9" i="21"/>
  <c r="C9" i="21"/>
  <c r="D8" i="6"/>
  <c r="E8" i="6"/>
  <c r="F8" i="6"/>
  <c r="F8" i="34" s="1"/>
  <c r="N8" i="34" s="1"/>
  <c r="G8" i="6"/>
  <c r="H8" i="6"/>
  <c r="C8" i="6"/>
  <c r="D41" i="22"/>
  <c r="E41" i="22"/>
  <c r="F41" i="22" s="1"/>
  <c r="G41" i="22"/>
  <c r="H41" i="22"/>
  <c r="H48" i="22" s="1"/>
  <c r="C41" i="21"/>
  <c r="D41" i="21"/>
  <c r="E41" i="21"/>
  <c r="F41" i="21" s="1"/>
  <c r="G41" i="21"/>
  <c r="H41" i="21"/>
  <c r="H48" i="21" s="1"/>
  <c r="N35" i="8"/>
  <c r="P35" i="8" s="1"/>
  <c r="M35" i="8"/>
  <c r="L35" i="8"/>
  <c r="L33" i="8"/>
  <c r="N31" i="8"/>
  <c r="P31" i="8" s="1"/>
  <c r="M31" i="8"/>
  <c r="M37" i="8" s="1"/>
  <c r="L31" i="8"/>
  <c r="D35" i="8"/>
  <c r="C35" i="8"/>
  <c r="K25" i="8"/>
  <c r="K26" i="8"/>
  <c r="K27" i="8"/>
  <c r="K24" i="8"/>
  <c r="K19" i="8"/>
  <c r="K20" i="8"/>
  <c r="K21" i="8"/>
  <c r="K18" i="8"/>
  <c r="B25" i="8"/>
  <c r="B26" i="8"/>
  <c r="B27" i="8"/>
  <c r="B24" i="8"/>
  <c r="B19" i="8"/>
  <c r="B20" i="8"/>
  <c r="B21" i="8"/>
  <c r="B18" i="8"/>
  <c r="D55" i="8"/>
  <c r="E55" i="8"/>
  <c r="C55" i="8"/>
  <c r="D50" i="8"/>
  <c r="E50" i="8"/>
  <c r="C50" i="8"/>
  <c r="N55" i="8"/>
  <c r="P55" i="8" s="1"/>
  <c r="L55" i="8"/>
  <c r="M50" i="8"/>
  <c r="N50" i="8"/>
  <c r="P50" i="8" s="1"/>
  <c r="L50" i="8"/>
  <c r="D43" i="22"/>
  <c r="C43" i="22"/>
  <c r="E35" i="22"/>
  <c r="F35" i="22" s="1"/>
  <c r="D35" i="22"/>
  <c r="C35" i="22"/>
  <c r="G31" i="22"/>
  <c r="G48" i="22" s="1"/>
  <c r="E31" i="22"/>
  <c r="F31" i="22" s="1"/>
  <c r="D31" i="22"/>
  <c r="C31" i="22"/>
  <c r="H30" i="22"/>
  <c r="G30" i="22"/>
  <c r="F30" i="22"/>
  <c r="F29" i="22"/>
  <c r="E29" i="22"/>
  <c r="D29" i="22"/>
  <c r="C29" i="22"/>
  <c r="A29" i="22"/>
  <c r="G26" i="22"/>
  <c r="C23" i="22"/>
  <c r="H22" i="22"/>
  <c r="H26" i="22" s="1"/>
  <c r="E20" i="22"/>
  <c r="F20" i="22" s="1"/>
  <c r="D20" i="22"/>
  <c r="C20" i="22"/>
  <c r="E13" i="22"/>
  <c r="F13" i="22" s="1"/>
  <c r="D13" i="22"/>
  <c r="C13" i="22"/>
  <c r="E11" i="22"/>
  <c r="D11" i="22"/>
  <c r="D22" i="22" s="1"/>
  <c r="D26" i="22" s="1"/>
  <c r="C11" i="22"/>
  <c r="D35" i="21"/>
  <c r="C35" i="21"/>
  <c r="G31" i="21"/>
  <c r="E31" i="21"/>
  <c r="F31" i="21" s="1"/>
  <c r="D31" i="21"/>
  <c r="C31" i="21"/>
  <c r="H30" i="21"/>
  <c r="G30" i="21"/>
  <c r="F30" i="21"/>
  <c r="F29" i="21"/>
  <c r="E29" i="21"/>
  <c r="D29" i="21"/>
  <c r="C29" i="21"/>
  <c r="A29" i="21"/>
  <c r="G26" i="21"/>
  <c r="C23" i="21"/>
  <c r="H22" i="21"/>
  <c r="H26" i="21" s="1"/>
  <c r="E20" i="21"/>
  <c r="F20" i="21" s="1"/>
  <c r="D20" i="21"/>
  <c r="C20" i="21"/>
  <c r="E13" i="21"/>
  <c r="F13" i="21" s="1"/>
  <c r="D13" i="21"/>
  <c r="C13" i="21"/>
  <c r="C22" i="21" s="1"/>
  <c r="E11" i="21"/>
  <c r="D11" i="21"/>
  <c r="I8" i="12"/>
  <c r="M52" i="8"/>
  <c r="M55" i="8" s="1"/>
  <c r="N26" i="8"/>
  <c r="M26" i="8"/>
  <c r="M24" i="8"/>
  <c r="E26" i="8"/>
  <c r="G26" i="8" s="1"/>
  <c r="D26" i="8"/>
  <c r="C26" i="8"/>
  <c r="D24" i="8"/>
  <c r="C24" i="8"/>
  <c r="M7" i="8"/>
  <c r="N7" i="8"/>
  <c r="L7" i="8"/>
  <c r="G34" i="19"/>
  <c r="F22" i="19"/>
  <c r="E22" i="19"/>
  <c r="D22" i="19"/>
  <c r="C22" i="19"/>
  <c r="G21" i="19"/>
  <c r="G20" i="19"/>
  <c r="G19" i="19"/>
  <c r="F13" i="19"/>
  <c r="C23" i="12"/>
  <c r="E23" i="12" s="1"/>
  <c r="E29" i="12" s="1"/>
  <c r="C17" i="12"/>
  <c r="C22" i="11"/>
  <c r="N62" i="8"/>
  <c r="P62" i="8" s="1"/>
  <c r="M62" i="8"/>
  <c r="M67" i="8" s="1"/>
  <c r="L62" i="8"/>
  <c r="L67" i="8" s="1"/>
  <c r="E62" i="8"/>
  <c r="D62" i="8"/>
  <c r="D67" i="8" s="1"/>
  <c r="C62" i="8"/>
  <c r="C67" i="8" s="1"/>
  <c r="N22" i="8"/>
  <c r="P22" i="8" s="1"/>
  <c r="M22" i="8"/>
  <c r="L22" i="8"/>
  <c r="E62" i="3"/>
  <c r="D62" i="3"/>
  <c r="C62" i="3"/>
  <c r="D59" i="3"/>
  <c r="C59" i="3"/>
  <c r="D56" i="3"/>
  <c r="C56" i="3"/>
  <c r="D44" i="3"/>
  <c r="C44" i="3"/>
  <c r="D28" i="3"/>
  <c r="C28" i="3"/>
  <c r="D22" i="3"/>
  <c r="C22" i="3"/>
  <c r="F41" i="34"/>
  <c r="F39" i="34"/>
  <c r="F16" i="34"/>
  <c r="D32" i="8"/>
  <c r="D31" i="8" s="1"/>
  <c r="C32" i="8"/>
  <c r="C31" i="8" s="1"/>
  <c r="E39" i="34"/>
  <c r="D39" i="34"/>
  <c r="C39" i="34"/>
  <c r="F19" i="6"/>
  <c r="H21" i="6"/>
  <c r="H25" i="6"/>
  <c r="E19" i="6"/>
  <c r="D19" i="6"/>
  <c r="C19" i="6"/>
  <c r="G25" i="6"/>
  <c r="H62" i="3"/>
  <c r="H44" i="3"/>
  <c r="H41" i="3"/>
  <c r="G41" i="3"/>
  <c r="G16" i="34"/>
  <c r="G8" i="34"/>
  <c r="O8" i="34" s="1"/>
  <c r="G44" i="35"/>
  <c r="O44" i="35" s="1"/>
  <c r="I28" i="11" l="1"/>
  <c r="C28" i="8"/>
  <c r="K28" i="11"/>
  <c r="M16" i="3"/>
  <c r="F16" i="3"/>
  <c r="N16" i="3" s="1"/>
  <c r="N59" i="3"/>
  <c r="O44" i="8"/>
  <c r="O45" i="8" s="1"/>
  <c r="F11" i="22"/>
  <c r="E22" i="22"/>
  <c r="F22" i="22" s="1"/>
  <c r="F47" i="34"/>
  <c r="E19" i="8"/>
  <c r="G19" i="8" s="1"/>
  <c r="C12" i="11"/>
  <c r="E12" i="11" s="1"/>
  <c r="M25" i="3"/>
  <c r="F25" i="3"/>
  <c r="N25" i="3" s="1"/>
  <c r="F44" i="3"/>
  <c r="N44" i="3" s="1"/>
  <c r="M44" i="3"/>
  <c r="M62" i="3"/>
  <c r="F62" i="3"/>
  <c r="N62" i="3" s="1"/>
  <c r="D22" i="21"/>
  <c r="C18" i="8"/>
  <c r="C8" i="34"/>
  <c r="E18" i="8"/>
  <c r="G18" i="8" s="1"/>
  <c r="C10" i="11"/>
  <c r="E10" i="11" s="1"/>
  <c r="G10" i="11" s="1"/>
  <c r="E8" i="34"/>
  <c r="M8" i="34" s="1"/>
  <c r="M50" i="3"/>
  <c r="F50" i="3"/>
  <c r="N50" i="3" s="1"/>
  <c r="M41" i="3"/>
  <c r="F41" i="3"/>
  <c r="N41" i="3" s="1"/>
  <c r="M56" i="3"/>
  <c r="F56" i="3"/>
  <c r="N56" i="3" s="1"/>
  <c r="G35" i="19"/>
  <c r="I35" i="19" s="1"/>
  <c r="I34" i="19"/>
  <c r="G41" i="35"/>
  <c r="O41" i="3"/>
  <c r="G61" i="3"/>
  <c r="O61" i="3" s="1"/>
  <c r="E67" i="8"/>
  <c r="N67" i="8"/>
  <c r="P67" i="8" s="1"/>
  <c r="N28" i="8"/>
  <c r="P28" i="8" s="1"/>
  <c r="P26" i="8"/>
  <c r="E22" i="21"/>
  <c r="F11" i="21"/>
  <c r="F22" i="21" s="1"/>
  <c r="D18" i="8"/>
  <c r="D8" i="34"/>
  <c r="D22" i="6"/>
  <c r="M28" i="8"/>
  <c r="D28" i="8"/>
  <c r="C8" i="3"/>
  <c r="L10" i="8" s="1"/>
  <c r="D40" i="6"/>
  <c r="D47" i="6" s="1"/>
  <c r="C40" i="6"/>
  <c r="C47" i="6" s="1"/>
  <c r="D12" i="6"/>
  <c r="D20" i="8" s="1"/>
  <c r="C10" i="8"/>
  <c r="M44" i="8"/>
  <c r="D60" i="35"/>
  <c r="E24" i="8"/>
  <c r="L24" i="8"/>
  <c r="L28" i="8" s="1"/>
  <c r="E8" i="3"/>
  <c r="D51" i="35"/>
  <c r="M42" i="8"/>
  <c r="G43" i="34"/>
  <c r="D10" i="6"/>
  <c r="D19" i="8"/>
  <c r="E47" i="34"/>
  <c r="E34" i="8"/>
  <c r="L13" i="8"/>
  <c r="C41" i="35"/>
  <c r="D26" i="34"/>
  <c r="D12" i="8"/>
  <c r="F40" i="6"/>
  <c r="F47" i="6" s="1"/>
  <c r="E12" i="8"/>
  <c r="G12" i="8" s="1"/>
  <c r="C44" i="8"/>
  <c r="C41" i="34"/>
  <c r="C57" i="35"/>
  <c r="L43" i="8"/>
  <c r="D8" i="35"/>
  <c r="M10" i="8"/>
  <c r="E16" i="34"/>
  <c r="E42" i="8"/>
  <c r="G42" i="8" s="1"/>
  <c r="D41" i="34"/>
  <c r="D44" i="8"/>
  <c r="M43" i="8"/>
  <c r="D57" i="35"/>
  <c r="L42" i="8"/>
  <c r="C51" i="35"/>
  <c r="D19" i="34"/>
  <c r="D11" i="8"/>
  <c r="C10" i="6"/>
  <c r="C19" i="8"/>
  <c r="D47" i="34"/>
  <c r="D44" i="34" s="1"/>
  <c r="D34" i="8"/>
  <c r="D33" i="8" s="1"/>
  <c r="D37" i="8" s="1"/>
  <c r="N14" i="8"/>
  <c r="C42" i="8"/>
  <c r="C16" i="34"/>
  <c r="D44" i="35"/>
  <c r="M14" i="8"/>
  <c r="N42" i="8"/>
  <c r="P42" i="8" s="1"/>
  <c r="E51" i="35"/>
  <c r="M13" i="8"/>
  <c r="D41" i="35"/>
  <c r="D16" i="34"/>
  <c r="D42" i="8"/>
  <c r="D45" i="8" s="1"/>
  <c r="D56" i="8" s="1"/>
  <c r="D68" i="8" s="1"/>
  <c r="D21" i="3"/>
  <c r="D61" i="3" s="1"/>
  <c r="D66" i="3" s="1"/>
  <c r="G22" i="19"/>
  <c r="G48" i="21"/>
  <c r="D10" i="8"/>
  <c r="C12" i="8"/>
  <c r="E44" i="8"/>
  <c r="G44" i="8" s="1"/>
  <c r="E41" i="34"/>
  <c r="C44" i="35"/>
  <c r="L14" i="8"/>
  <c r="C60" i="35"/>
  <c r="L44" i="8"/>
  <c r="L37" i="8"/>
  <c r="E40" i="6"/>
  <c r="E47" i="6" s="1"/>
  <c r="C8" i="35"/>
  <c r="C11" i="8"/>
  <c r="C34" i="8"/>
  <c r="C33" i="8" s="1"/>
  <c r="C37" i="8" s="1"/>
  <c r="C47" i="34"/>
  <c r="C44" i="34" s="1"/>
  <c r="E41" i="35"/>
  <c r="F41" i="35" s="1"/>
  <c r="N13" i="8"/>
  <c r="N43" i="8"/>
  <c r="E57" i="35"/>
  <c r="F57" i="35" s="1"/>
  <c r="G8" i="35"/>
  <c r="H8" i="3"/>
  <c r="H61" i="3" s="1"/>
  <c r="H66" i="3" s="1"/>
  <c r="C21" i="3"/>
  <c r="E12" i="6"/>
  <c r="E26" i="34" s="1"/>
  <c r="C48" i="22"/>
  <c r="D48" i="22"/>
  <c r="C12" i="6"/>
  <c r="E48" i="22"/>
  <c r="E10" i="6"/>
  <c r="D26" i="21"/>
  <c r="E48" i="21"/>
  <c r="F48" i="21" s="1"/>
  <c r="F12" i="6"/>
  <c r="F21" i="6" s="1"/>
  <c r="C26" i="21"/>
  <c r="C22" i="6"/>
  <c r="C22" i="22"/>
  <c r="C26" i="22" s="1"/>
  <c r="C29" i="12"/>
  <c r="N37" i="8"/>
  <c r="P37" i="8" s="1"/>
  <c r="E21" i="3"/>
  <c r="D48" i="21"/>
  <c r="C48" i="21"/>
  <c r="G45" i="8" l="1"/>
  <c r="G56" i="8" s="1"/>
  <c r="G68" i="8" s="1"/>
  <c r="G62" i="35"/>
  <c r="O62" i="35" s="1"/>
  <c r="O8" i="35"/>
  <c r="F44" i="34"/>
  <c r="N44" i="34" s="1"/>
  <c r="N47" i="34"/>
  <c r="F26" i="34"/>
  <c r="N26" i="34" s="1"/>
  <c r="M26" i="34"/>
  <c r="E44" i="34"/>
  <c r="M44" i="34" s="1"/>
  <c r="M47" i="34"/>
  <c r="F51" i="35"/>
  <c r="N51" i="35" s="1"/>
  <c r="M51" i="35"/>
  <c r="G49" i="34"/>
  <c r="O49" i="34" s="1"/>
  <c r="W49" i="34" s="1"/>
  <c r="O43" i="34"/>
  <c r="W43" i="34" s="1"/>
  <c r="C19" i="34"/>
  <c r="C21" i="6"/>
  <c r="E28" i="8"/>
  <c r="G24" i="8"/>
  <c r="G28" i="8" s="1"/>
  <c r="O56" i="8"/>
  <c r="O68" i="8" s="1"/>
  <c r="L12" i="8"/>
  <c r="L16" i="8" s="1"/>
  <c r="L29" i="8" s="1"/>
  <c r="L38" i="8" s="1"/>
  <c r="C21" i="35"/>
  <c r="C67" i="35" s="1"/>
  <c r="P44" i="8"/>
  <c r="F21" i="3"/>
  <c r="N21" i="3" s="1"/>
  <c r="M21" i="3"/>
  <c r="I11" i="12"/>
  <c r="K11" i="12" s="1"/>
  <c r="M11" i="12" s="1"/>
  <c r="P43" i="8"/>
  <c r="D21" i="6"/>
  <c r="D25" i="6" s="1"/>
  <c r="M8" i="3"/>
  <c r="F8" i="3"/>
  <c r="I13" i="11"/>
  <c r="K13" i="11" s="1"/>
  <c r="M13" i="11" s="1"/>
  <c r="P14" i="8"/>
  <c r="C25" i="6"/>
  <c r="E21" i="6"/>
  <c r="I12" i="11"/>
  <c r="K12" i="11" s="1"/>
  <c r="M12" i="11" s="1"/>
  <c r="P13" i="8"/>
  <c r="E33" i="8"/>
  <c r="G34" i="8"/>
  <c r="G33" i="8" s="1"/>
  <c r="G37" i="8" s="1"/>
  <c r="E32" i="8"/>
  <c r="G32" i="8" s="1"/>
  <c r="G31" i="8" s="1"/>
  <c r="D22" i="8"/>
  <c r="C45" i="8"/>
  <c r="C56" i="8" s="1"/>
  <c r="C68" i="8" s="1"/>
  <c r="G66" i="3"/>
  <c r="O66" i="3" s="1"/>
  <c r="F25" i="22"/>
  <c r="F23" i="22" s="1"/>
  <c r="F48" i="22"/>
  <c r="D49" i="34"/>
  <c r="C13" i="11"/>
  <c r="E20" i="8"/>
  <c r="C20" i="8"/>
  <c r="C26" i="34"/>
  <c r="C49" i="34" s="1"/>
  <c r="I9" i="12"/>
  <c r="K9" i="12" s="1"/>
  <c r="M9" i="12" s="1"/>
  <c r="N45" i="8"/>
  <c r="N56" i="8" s="1"/>
  <c r="L45" i="8"/>
  <c r="L56" i="8" s="1"/>
  <c r="L68" i="8" s="1"/>
  <c r="N10" i="8"/>
  <c r="P10" i="8" s="1"/>
  <c r="E8" i="35"/>
  <c r="M8" i="35" s="1"/>
  <c r="C16" i="8"/>
  <c r="E10" i="8"/>
  <c r="G10" i="8" s="1"/>
  <c r="D21" i="35"/>
  <c r="D67" i="35" s="1"/>
  <c r="M12" i="8"/>
  <c r="M16" i="8" s="1"/>
  <c r="M29" i="8" s="1"/>
  <c r="M38" i="8" s="1"/>
  <c r="E19" i="34"/>
  <c r="E11" i="8"/>
  <c r="G11" i="8" s="1"/>
  <c r="M45" i="8"/>
  <c r="M56" i="8" s="1"/>
  <c r="M68" i="8" s="1"/>
  <c r="E61" i="3"/>
  <c r="M61" i="3" s="1"/>
  <c r="E21" i="35"/>
  <c r="N12" i="8"/>
  <c r="E44" i="35"/>
  <c r="C22" i="8"/>
  <c r="C61" i="3"/>
  <c r="C66" i="3" s="1"/>
  <c r="G67" i="35"/>
  <c r="O67" i="35" s="1"/>
  <c r="D16" i="8"/>
  <c r="D29" i="8" s="1"/>
  <c r="D38" i="8" s="1"/>
  <c r="D69" i="8" s="1"/>
  <c r="C10" i="12"/>
  <c r="E45" i="8"/>
  <c r="E23" i="22"/>
  <c r="G16" i="8" l="1"/>
  <c r="M19" i="34"/>
  <c r="F62" i="35"/>
  <c r="N62" i="35" s="1"/>
  <c r="F21" i="35"/>
  <c r="N21" i="35" s="1"/>
  <c r="M21" i="35"/>
  <c r="F44" i="35"/>
  <c r="N44" i="35" s="1"/>
  <c r="M44" i="35"/>
  <c r="I11" i="11"/>
  <c r="K11" i="11" s="1"/>
  <c r="M11" i="11" s="1"/>
  <c r="P12" i="8"/>
  <c r="E22" i="8"/>
  <c r="G20" i="8"/>
  <c r="G22" i="8" s="1"/>
  <c r="G29" i="8" s="1"/>
  <c r="G38" i="8" s="1"/>
  <c r="G69" i="8" s="1"/>
  <c r="O69" i="8"/>
  <c r="E31" i="8"/>
  <c r="E37" i="8" s="1"/>
  <c r="N68" i="8"/>
  <c r="P68" i="8" s="1"/>
  <c r="P56" i="8"/>
  <c r="E56" i="8"/>
  <c r="C16" i="11"/>
  <c r="E13" i="11"/>
  <c r="P45" i="8"/>
  <c r="C9" i="12"/>
  <c r="E10" i="12"/>
  <c r="G10" i="12" s="1"/>
  <c r="I16" i="12"/>
  <c r="K16" i="12" s="1"/>
  <c r="M16" i="12" s="1"/>
  <c r="E66" i="3"/>
  <c r="F61" i="3"/>
  <c r="N61" i="3" s="1"/>
  <c r="E26" i="22"/>
  <c r="F26" i="22" s="1"/>
  <c r="E23" i="21"/>
  <c r="E26" i="21" s="1"/>
  <c r="F25" i="21"/>
  <c r="F24" i="6" s="1"/>
  <c r="F22" i="6" s="1"/>
  <c r="F25" i="6" s="1"/>
  <c r="E24" i="6"/>
  <c r="E22" i="6" s="1"/>
  <c r="E25" i="6" s="1"/>
  <c r="L69" i="8"/>
  <c r="M69" i="8"/>
  <c r="C29" i="8"/>
  <c r="C38" i="8" s="1"/>
  <c r="C69" i="8" s="1"/>
  <c r="E16" i="8"/>
  <c r="F8" i="35"/>
  <c r="E67" i="35"/>
  <c r="M67" i="35" s="1"/>
  <c r="I9" i="11"/>
  <c r="N16" i="8"/>
  <c r="F67" i="35" l="1"/>
  <c r="N67" i="35" s="1"/>
  <c r="N8" i="35"/>
  <c r="E16" i="11"/>
  <c r="G13" i="11"/>
  <c r="G16" i="11" s="1"/>
  <c r="M31" i="12"/>
  <c r="K32" i="12"/>
  <c r="F49" i="34"/>
  <c r="N49" i="34" s="1"/>
  <c r="V49" i="34" s="1"/>
  <c r="I30" i="12"/>
  <c r="K30" i="12" s="1"/>
  <c r="M30" i="12" s="1"/>
  <c r="I32" i="12"/>
  <c r="K31" i="12"/>
  <c r="F66" i="3"/>
  <c r="N66" i="3" s="1"/>
  <c r="M66" i="3"/>
  <c r="E29" i="8"/>
  <c r="N29" i="8"/>
  <c r="P16" i="8"/>
  <c r="C18" i="11"/>
  <c r="E68" i="8"/>
  <c r="I31" i="12"/>
  <c r="C16" i="12"/>
  <c r="E9" i="12"/>
  <c r="I16" i="11"/>
  <c r="I30" i="11" s="1"/>
  <c r="K9" i="11"/>
  <c r="F23" i="21"/>
  <c r="F26" i="21" s="1"/>
  <c r="E49" i="34"/>
  <c r="M49" i="34" s="1"/>
  <c r="E16" i="12" l="1"/>
  <c r="E30" i="12" s="1"/>
  <c r="G9" i="12"/>
  <c r="G16" i="12" s="1"/>
  <c r="K16" i="11"/>
  <c r="K29" i="11" s="1"/>
  <c r="M9" i="11"/>
  <c r="E31" i="12"/>
  <c r="C17" i="11"/>
  <c r="E18" i="11"/>
  <c r="E38" i="8"/>
  <c r="C30" i="11"/>
  <c r="N38" i="8"/>
  <c r="P29" i="8"/>
  <c r="C31" i="12"/>
  <c r="C30" i="12"/>
  <c r="I29" i="11"/>
  <c r="M16" i="11" l="1"/>
  <c r="M29" i="11" s="1"/>
  <c r="E30" i="11"/>
  <c r="G30" i="12"/>
  <c r="G31" i="12"/>
  <c r="K30" i="11"/>
  <c r="E17" i="11"/>
  <c r="E28" i="11" s="1"/>
  <c r="G18" i="11"/>
  <c r="G17" i="11" s="1"/>
  <c r="G28" i="11" s="1"/>
  <c r="G29" i="11" s="1"/>
  <c r="K31" i="11"/>
  <c r="E29" i="11"/>
  <c r="E69" i="8"/>
  <c r="N69" i="8"/>
  <c r="P69" i="8" s="1"/>
  <c r="P38" i="8"/>
  <c r="C28" i="11"/>
  <c r="I31" i="11" s="1"/>
  <c r="E31" i="11"/>
  <c r="M30" i="11" l="1"/>
  <c r="G30" i="11"/>
  <c r="G31" i="11"/>
  <c r="C31" i="11"/>
  <c r="M31" i="11"/>
  <c r="C29" i="11"/>
</calcChain>
</file>

<file path=xl/sharedStrings.xml><?xml version="1.0" encoding="utf-8"?>
<sst xmlns="http://schemas.openxmlformats.org/spreadsheetml/2006/main" count="1901" uniqueCount="579">
  <si>
    <t>Munkavégzésre irányuló egy. Jv.</t>
  </si>
  <si>
    <t>K333.</t>
  </si>
  <si>
    <t>Bérleti díjak</t>
  </si>
  <si>
    <t>K61.</t>
  </si>
  <si>
    <t>Immateriális javak</t>
  </si>
  <si>
    <t>B34.</t>
  </si>
  <si>
    <t>Vagyonui típusú adó ÉPA</t>
  </si>
  <si>
    <t xml:space="preserve">Termékek és szolgáltatások adói </t>
  </si>
  <si>
    <t>Egyéb áruhasználati és szolgáltatási adók IFA</t>
  </si>
  <si>
    <t>Egyéb közhatalmi bevételek (bírság, talajterh.d.)</t>
  </si>
  <si>
    <t>B407.</t>
  </si>
  <si>
    <t>ÁFA visszatérítés</t>
  </si>
  <si>
    <t>Központi, irányítószervi támogatás (áll.tám.: 20852755)</t>
  </si>
  <si>
    <t>K84.</t>
  </si>
  <si>
    <t>Egyéb felhalmozási célú támogatások áht-n belülre</t>
  </si>
  <si>
    <t>Adatok Ft-ban</t>
  </si>
  <si>
    <t>Megnevezés</t>
  </si>
  <si>
    <t>1.</t>
  </si>
  <si>
    <t>2.</t>
  </si>
  <si>
    <t>Rovatszám</t>
  </si>
  <si>
    <t>A</t>
  </si>
  <si>
    <t>B</t>
  </si>
  <si>
    <t>C</t>
  </si>
  <si>
    <t>B1.</t>
  </si>
  <si>
    <t>Működési célú tám. ÁH-on belülről</t>
  </si>
  <si>
    <t>B11.</t>
  </si>
  <si>
    <t>Önkormányzat működési támogatásai</t>
  </si>
  <si>
    <t>B111.</t>
  </si>
  <si>
    <t>Önkormányzat általános támogatása</t>
  </si>
  <si>
    <t>B112.</t>
  </si>
  <si>
    <t>Települési önkormányzat köznev. feladatainak tám.</t>
  </si>
  <si>
    <t>B113.</t>
  </si>
  <si>
    <t>Önkormányzat szociális és gyermekjóléti feladatainak tám.</t>
  </si>
  <si>
    <t>B114.</t>
  </si>
  <si>
    <t>Önkormányzat kulturális feladatainak tám.</t>
  </si>
  <si>
    <t>B115.</t>
  </si>
  <si>
    <t>Működési célú költségvetési tán. és kiegészítő tám.</t>
  </si>
  <si>
    <t>B16.</t>
  </si>
  <si>
    <t>Egyéb működési célú támogatások bevételei ÁH-on belül</t>
  </si>
  <si>
    <t>B2.</t>
  </si>
  <si>
    <t>Felhalmozási célú támogatások ÁH-on belül</t>
  </si>
  <si>
    <t>B21.</t>
  </si>
  <si>
    <t>Felhalmozási önkormányzati támogatások</t>
  </si>
  <si>
    <t>B25.</t>
  </si>
  <si>
    <t>Egyéb felhalmozási célú támogatások áht-n belülről</t>
  </si>
  <si>
    <t>B3.</t>
  </si>
  <si>
    <t>Közhatalmi bevételek</t>
  </si>
  <si>
    <t>B35.</t>
  </si>
  <si>
    <t>B351.</t>
  </si>
  <si>
    <t>Értékesítési forgalmi adók (Iparűzési adó)</t>
  </si>
  <si>
    <t>B354.</t>
  </si>
  <si>
    <t>Gépjárműadók</t>
  </si>
  <si>
    <t>B355.</t>
  </si>
  <si>
    <t>B36.</t>
  </si>
  <si>
    <t>Egyéb közhatalmi bevételek</t>
  </si>
  <si>
    <t>B4.</t>
  </si>
  <si>
    <t>Működési bevételek</t>
  </si>
  <si>
    <t>B402.</t>
  </si>
  <si>
    <t>Szolgáltatások ellenértéke</t>
  </si>
  <si>
    <t xml:space="preserve">B403. </t>
  </si>
  <si>
    <t>Közvetített szolgáltatások ellenértéke</t>
  </si>
  <si>
    <t>B404.</t>
  </si>
  <si>
    <t>Tulajdonosi bevételek</t>
  </si>
  <si>
    <t>B405.</t>
  </si>
  <si>
    <t>Ellátási díjak</t>
  </si>
  <si>
    <t>B406.</t>
  </si>
  <si>
    <t>Kiszámlázott ÁFA</t>
  </si>
  <si>
    <t>B408.</t>
  </si>
  <si>
    <t>Kamatbevételek</t>
  </si>
  <si>
    <t>B410.</t>
  </si>
  <si>
    <t>Biztosító által fizetett kártérítés</t>
  </si>
  <si>
    <t>B411.</t>
  </si>
  <si>
    <t>Egyéb működési bevételek</t>
  </si>
  <si>
    <t>B5.</t>
  </si>
  <si>
    <t>Felhalmozási bevételek</t>
  </si>
  <si>
    <t>B52.</t>
  </si>
  <si>
    <t>Ingatlanok értékesítése</t>
  </si>
  <si>
    <t>B6.</t>
  </si>
  <si>
    <t>Működési célú átvett pénzeszközök</t>
  </si>
  <si>
    <t>B62.</t>
  </si>
  <si>
    <t>Működési célú kölcsönök visszatér. ÁH-on kívül</t>
  </si>
  <si>
    <t>B7.</t>
  </si>
  <si>
    <t>Felhalmozási célú átvett pénzeszközök</t>
  </si>
  <si>
    <t>B75.</t>
  </si>
  <si>
    <t>Egyéb felhalmozási célú átvett pénzeszközök</t>
  </si>
  <si>
    <t>B1.-B7.</t>
  </si>
  <si>
    <t>Költségvetési bevételek összesen</t>
  </si>
  <si>
    <t>B8.</t>
  </si>
  <si>
    <t>Finanszírozási bevételek</t>
  </si>
  <si>
    <t>B8111.</t>
  </si>
  <si>
    <t>Hosszú lejáratú hitelek, kölcsönök felvétele pénzügyi vállalkozástól</t>
  </si>
  <si>
    <t>B8112.</t>
  </si>
  <si>
    <t>Likviditási célú hitelek, kölcsönök felvétele pénzügyi vállalkozástól</t>
  </si>
  <si>
    <t>B813.</t>
  </si>
  <si>
    <t>Előző év költségvetési maradványának igénybevétele</t>
  </si>
  <si>
    <t>B814.</t>
  </si>
  <si>
    <t>Államháztartáson belüli megelőlegezések</t>
  </si>
  <si>
    <t>K1.</t>
  </si>
  <si>
    <t>Személyi juttatások</t>
  </si>
  <si>
    <t>K11.</t>
  </si>
  <si>
    <t>Foglalkoztatottak személyi juttatásai</t>
  </si>
  <si>
    <t>K1101.</t>
  </si>
  <si>
    <t>Törvény szerinti illetmények, munkabérek</t>
  </si>
  <si>
    <t>K1102.</t>
  </si>
  <si>
    <t xml:space="preserve">Normatív jutalmak </t>
  </si>
  <si>
    <t>K1107.</t>
  </si>
  <si>
    <t>Béren kívüli juttatások</t>
  </si>
  <si>
    <t>K1109.</t>
  </si>
  <si>
    <t>Közlekedés költségtérítés</t>
  </si>
  <si>
    <t>K1110.</t>
  </si>
  <si>
    <t>Egyéb költségtérítés</t>
  </si>
  <si>
    <t>K1113.</t>
  </si>
  <si>
    <t>Foglalkoztatottak egyéb személyi juttatásai</t>
  </si>
  <si>
    <t>K12.</t>
  </si>
  <si>
    <t>Külső személyi juttatások</t>
  </si>
  <si>
    <t>K121.</t>
  </si>
  <si>
    <t>Választott tisztségviselők juttatásai</t>
  </si>
  <si>
    <t>K122.</t>
  </si>
  <si>
    <t>K123.</t>
  </si>
  <si>
    <t>Egyéb külső személyi juttatások</t>
  </si>
  <si>
    <t>K2.</t>
  </si>
  <si>
    <t>Munkaadót terhelő járulékok és szociális hozzájárulási adó</t>
  </si>
  <si>
    <t>K3.</t>
  </si>
  <si>
    <t>Dologi kiadások</t>
  </si>
  <si>
    <t>K31.</t>
  </si>
  <si>
    <t>Készletbeszerzés</t>
  </si>
  <si>
    <t>K311.</t>
  </si>
  <si>
    <t>Szakmai anyag beszerzés</t>
  </si>
  <si>
    <t>K312.</t>
  </si>
  <si>
    <t>Üzemeltetési anyag beszerzés</t>
  </si>
  <si>
    <t>K32.</t>
  </si>
  <si>
    <t>Kommunikációs szolgáltatások</t>
  </si>
  <si>
    <t>K321.</t>
  </si>
  <si>
    <t>Informatikai szolgáltatások igénybevétele</t>
  </si>
  <si>
    <t>K322.</t>
  </si>
  <si>
    <t>Egyéb kommunikációs szolgáltatások</t>
  </si>
  <si>
    <t>K33.</t>
  </si>
  <si>
    <t>Szolgáltatási kiadások</t>
  </si>
  <si>
    <t>K331.</t>
  </si>
  <si>
    <t>Közüzemi díj</t>
  </si>
  <si>
    <t>K332.</t>
  </si>
  <si>
    <t>Vásárolt élelmezés</t>
  </si>
  <si>
    <t>K334.</t>
  </si>
  <si>
    <t>Karbantartás, kisjavítási szolgáltatások</t>
  </si>
  <si>
    <t>K335.</t>
  </si>
  <si>
    <t>Közvetített szolgáltatások</t>
  </si>
  <si>
    <t>K336.</t>
  </si>
  <si>
    <t>Szakmai tevékenységet segítő szolgáltatások</t>
  </si>
  <si>
    <t>K337.</t>
  </si>
  <si>
    <t>Egyéb szolgáltatások</t>
  </si>
  <si>
    <t>K34.</t>
  </si>
  <si>
    <t>Kiküldetések, reklám- és propagandaköltség</t>
  </si>
  <si>
    <t>K35.</t>
  </si>
  <si>
    <t>Különféle befizetések, egyéb dologi kiadások</t>
  </si>
  <si>
    <t>K351.</t>
  </si>
  <si>
    <t>Előzetesen felszámított és fizetendő áfa</t>
  </si>
  <si>
    <t>K352.</t>
  </si>
  <si>
    <t>Fizetendő áfa előirányzata</t>
  </si>
  <si>
    <t>K355.</t>
  </si>
  <si>
    <t>Egyéb dologi kiadások</t>
  </si>
  <si>
    <t>K4.</t>
  </si>
  <si>
    <t>Ellátottak pénzbeli juttatásai</t>
  </si>
  <si>
    <t>K42.</t>
  </si>
  <si>
    <t>Családi támogatások</t>
  </si>
  <si>
    <t>K48.</t>
  </si>
  <si>
    <t>Egyéb nem intézményi ellátások</t>
  </si>
  <si>
    <t>K5.</t>
  </si>
  <si>
    <t>Egyéb működési célú kiadások</t>
  </si>
  <si>
    <t>K5021.</t>
  </si>
  <si>
    <t>A helyi önkormányzatok előző évi elszámolásaiból származó kiadások</t>
  </si>
  <si>
    <t>K506.</t>
  </si>
  <si>
    <t>Egyéb működési célú kiadások ÁHT-n belülre</t>
  </si>
  <si>
    <t>K508.</t>
  </si>
  <si>
    <t>Működési célú visszatérítendő támogatások ÁHT-n kívülre</t>
  </si>
  <si>
    <t>K512.</t>
  </si>
  <si>
    <t>Egyéb működési célú támogatások ÁHT-n kívülre</t>
  </si>
  <si>
    <t>K513.</t>
  </si>
  <si>
    <t>Tartalékok előirányzata</t>
  </si>
  <si>
    <t>K6.</t>
  </si>
  <si>
    <t>Beruházások</t>
  </si>
  <si>
    <t>K62.</t>
  </si>
  <si>
    <t>Ingatlanok beszerzése, létesítése</t>
  </si>
  <si>
    <t>K64.</t>
  </si>
  <si>
    <t>Egyéb tárgyi eszközök beszerzsée, létesítése</t>
  </si>
  <si>
    <t>K67.</t>
  </si>
  <si>
    <t>Beruházási célú áfa</t>
  </si>
  <si>
    <t>K7.</t>
  </si>
  <si>
    <t>Felújítások</t>
  </si>
  <si>
    <t>K71.</t>
  </si>
  <si>
    <t>Ingatlanok felújítása</t>
  </si>
  <si>
    <t>K74.</t>
  </si>
  <si>
    <t>Felújítási célú áfa</t>
  </si>
  <si>
    <t>K8.</t>
  </si>
  <si>
    <t>Egyéb felhalmozási célú kiadások</t>
  </si>
  <si>
    <t>K1.-K8.</t>
  </si>
  <si>
    <t>Költségvetési kiadások összesen</t>
  </si>
  <si>
    <t>K9.</t>
  </si>
  <si>
    <t>Finanszírozási kiadások</t>
  </si>
  <si>
    <t>K9112.</t>
  </si>
  <si>
    <t>Likviditási célú hitelek, kölcsönök törlesztése pénzügyi vállalkozásnak</t>
  </si>
  <si>
    <t>K914.</t>
  </si>
  <si>
    <t>Államháztartáson belüli megelőgezések visszafizetése</t>
  </si>
  <si>
    <t>K915</t>
  </si>
  <si>
    <t>Központi, irányító szervi támogatás</t>
  </si>
  <si>
    <t>Kötelező feladatok</t>
  </si>
  <si>
    <t>Önként vállalt feladatok</t>
  </si>
  <si>
    <t>BEVÉTELEK</t>
  </si>
  <si>
    <t>Működési célú támogatások ÁHT-n belülről</t>
  </si>
  <si>
    <t>Egyéb működési célú támogatások ÁHT-n belülről</t>
  </si>
  <si>
    <t>B403.</t>
  </si>
  <si>
    <t>Ellátási díjak előirányzata</t>
  </si>
  <si>
    <t>Kiszámlázott áfa előirányzata</t>
  </si>
  <si>
    <t>B53.</t>
  </si>
  <si>
    <t>Egyéb tárgyi eszközök értékesítése</t>
  </si>
  <si>
    <t>B1-B7.</t>
  </si>
  <si>
    <t>B816.</t>
  </si>
  <si>
    <t>Központi, irányítószervi támogatás</t>
  </si>
  <si>
    <t>KIADÁSOK</t>
  </si>
  <si>
    <t>Egyéb vállalkozásnak egyéb működési célú támogatások</t>
  </si>
  <si>
    <t xml:space="preserve">K6. </t>
  </si>
  <si>
    <t>Egyéb tárgyi eszközök beszerzése</t>
  </si>
  <si>
    <t xml:space="preserve">Beruházási célú áfa </t>
  </si>
  <si>
    <t>Engedélyezett létszám keret (fő)</t>
  </si>
  <si>
    <t>Közfoglalkoztatottak létszáma (fő)</t>
  </si>
  <si>
    <t xml:space="preserve">Megnevezés </t>
  </si>
  <si>
    <t>Önkormányzat</t>
  </si>
  <si>
    <t>Önkormányzat összesen</t>
  </si>
  <si>
    <t>Közös Önkormányzati Hivatal</t>
  </si>
  <si>
    <t>Finanszírozási működési kiadások összesen</t>
  </si>
  <si>
    <t xml:space="preserve">Költségvetési felhalmozási bevételek </t>
  </si>
  <si>
    <t>Közös Önkormányzati Hivatal összesen:</t>
  </si>
  <si>
    <t xml:space="preserve">Finanszírozási felhalmozási bevételek összesen </t>
  </si>
  <si>
    <t xml:space="preserve">Finanszírozási felhalmozási kiadások összesen </t>
  </si>
  <si>
    <t xml:space="preserve">A K 5 rovaton könyvelendő felhalmozási célú céltartalék a mérlegszerű bemutatásban a fejlesztési kiadások közott szerepel A Önkormányzat  1.12 Céltartalékok soron </t>
  </si>
  <si>
    <t xml:space="preserve">    Adatok Ft-ban</t>
  </si>
  <si>
    <t>Felhalmozási jellegű kiadás megnevezése</t>
  </si>
  <si>
    <t>Felhalmozási jellegű bevétel megnevezése</t>
  </si>
  <si>
    <t>Bevételek</t>
  </si>
  <si>
    <t>Kiadások</t>
  </si>
  <si>
    <t>Önkormányzatok működési támogatásai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</si>
  <si>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</si>
  <si>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</si>
  <si>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</si>
  <si>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</si>
  <si>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</si>
  <si>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</si>
  <si>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5.</t>
  </si>
  <si>
    <t>6.</t>
  </si>
  <si>
    <t>Tartalékok</t>
  </si>
  <si>
    <t>7.</t>
  </si>
  <si>
    <t>6.-ból EU-s támogatás (közvetlen)</t>
  </si>
  <si>
    <t>8.</t>
  </si>
  <si>
    <t>9.</t>
  </si>
  <si>
    <t>10.</t>
  </si>
  <si>
    <t>Értékpapír vásárlása, visszavásárlása</t>
  </si>
  <si>
    <t>11.</t>
  </si>
  <si>
    <t xml:space="preserve">   Költségvetési maradvány igénybevétele </t>
  </si>
  <si>
    <t>Likviditási célú hitelek törlesztése</t>
  </si>
  <si>
    <t>12.</t>
  </si>
  <si>
    <t xml:space="preserve">   Vállalkozási maradvány igénybevétele </t>
  </si>
  <si>
    <t>Rövid lejáratú hitelek törlesztése</t>
  </si>
  <si>
    <t>13.</t>
  </si>
  <si>
    <t xml:space="preserve">   Betét visszavonásából származó bevétel </t>
  </si>
  <si>
    <t>Hosszú lejáratú hitelek törlesztése</t>
  </si>
  <si>
    <t>14.</t>
  </si>
  <si>
    <t xml:space="preserve">   Egyéb belső finanszírozási bevételek</t>
  </si>
  <si>
    <t>Kölcsön törlesztése</t>
  </si>
  <si>
    <t>15.</t>
  </si>
  <si>
    <t>Forgatási célú belföldi, külföldi értékpapírok vásárlása</t>
  </si>
  <si>
    <t>16.</t>
  </si>
  <si>
    <t xml:space="preserve">   Likviditási célú hitelek, kölcsönök felvétele</t>
  </si>
  <si>
    <t>Pénzeszközök lekötött betétként elhelyezése</t>
  </si>
  <si>
    <t>17.</t>
  </si>
  <si>
    <t xml:space="preserve">   Értékpapírok bevételei</t>
  </si>
  <si>
    <t>Adóssághoz nem kapcsolódó származékos ügyletek</t>
  </si>
  <si>
    <t>18.</t>
  </si>
  <si>
    <t>Váltóbevételek</t>
  </si>
  <si>
    <t>Váltókiadások</t>
  </si>
  <si>
    <t>19.</t>
  </si>
  <si>
    <t>Adóssághoz nem kapcsolódó származékos ügyletek bevételei</t>
  </si>
  <si>
    <t>Államháztartáson belüli megelőlegezések visszafizetése</t>
  </si>
  <si>
    <t>20.</t>
  </si>
  <si>
    <t>Költségvetési hiány:</t>
  </si>
  <si>
    <t>Költségvetési többlet:</t>
  </si>
  <si>
    <t>Tárgyévi  hiány:</t>
  </si>
  <si>
    <t>Tárgyévi  többlet:</t>
  </si>
  <si>
    <t>Felhalmozási célú támogatások államháztartáson belülről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</si>
  <si>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</si>
  <si>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</si>
  <si>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</si>
  <si>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</si>
  <si>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</si>
  <si>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</si>
  <si>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</si>
  <si>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</si>
  <si>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</si>
  <si>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</si>
  <si>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</si>
  <si>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</si>
  <si>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</si>
  <si>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</si>
  <si>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</si>
  <si>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</si>
  <si>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</si>
  <si>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</si>
  <si>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</si>
  <si>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</si>
  <si>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-</t>
  </si>
  <si>
    <t>Feladat / cél</t>
  </si>
  <si>
    <t>Az átcsoportosítás jogát gyakorolja</t>
  </si>
  <si>
    <t>A.</t>
  </si>
  <si>
    <t>Céltartalékok</t>
  </si>
  <si>
    <t>B.</t>
  </si>
  <si>
    <t xml:space="preserve">Általános tartalék </t>
  </si>
  <si>
    <t>Összesen</t>
  </si>
  <si>
    <t>Összesen:</t>
  </si>
  <si>
    <t>Nyitó pénzkészlet</t>
  </si>
  <si>
    <t>Működési célú támogatások áht-n belülről</t>
  </si>
  <si>
    <t>Felhalmozási célú támogatások áht-n belülről</t>
  </si>
  <si>
    <t>Előző évi költségvetési maradvány igénybevétele</t>
  </si>
  <si>
    <t>Munkaadót terhelő járulékok</t>
  </si>
  <si>
    <t>Egyéb működési célú támogatások</t>
  </si>
  <si>
    <t>Tartalék</t>
  </si>
  <si>
    <t xml:space="preserve"> Adatok Ft-ban</t>
  </si>
  <si>
    <t>Fejlesztési cél leírása</t>
  </si>
  <si>
    <t>Fejlesztés várható kiadása</t>
  </si>
  <si>
    <t>Évek</t>
  </si>
  <si>
    <t>2022.</t>
  </si>
  <si>
    <t>Hosszú lejáratú hitel törlesztése</t>
  </si>
  <si>
    <t>Bevételi jogcímek</t>
  </si>
  <si>
    <t>01.</t>
  </si>
  <si>
    <t>Helyi adók (B34-ből)</t>
  </si>
  <si>
    <t>02.</t>
  </si>
  <si>
    <t>Tulajdonosi bevételek (B404)</t>
  </si>
  <si>
    <t>03.</t>
  </si>
  <si>
    <t>Díjak, pótlékok bírságok, települési adók (B355-ből, B36)</t>
  </si>
  <si>
    <t>04.</t>
  </si>
  <si>
    <t>Immateriális javak, ingatlanok és egyéb tárgyi eszközök értékesítése (B51, B52, B53)</t>
  </si>
  <si>
    <t>05.</t>
  </si>
  <si>
    <t>Részesedések értékesítése és részesedések megszűnéséhez kapcsolódó bevételek (B54-ből, B55)</t>
  </si>
  <si>
    <t>06.</t>
  </si>
  <si>
    <t>Privatizációból származó bevételek (B54-ből)</t>
  </si>
  <si>
    <t>07.</t>
  </si>
  <si>
    <t>Garancia- és kezességvállalásból származó megtérülések (B13, B22, B61, B71)</t>
  </si>
  <si>
    <t>Saját bevételek 50 %-a</t>
  </si>
  <si>
    <t>Eredeti előirányzat 2021.</t>
  </si>
  <si>
    <t>Művelődési Ház és Könyvtár</t>
  </si>
  <si>
    <t>Művelődési Ház és Könyvtár összesen:</t>
  </si>
  <si>
    <t>Közös Önkormányzati Hivatal összesen</t>
  </si>
  <si>
    <t>Művelődési Ház és Könyvtár összesen</t>
  </si>
  <si>
    <t xml:space="preserve">Vonyarcvashegy Nagyközség Önkormányzatának elemi bevételei </t>
  </si>
  <si>
    <t>Vonyarcvashegy Nagyközség Önkormányzata és Intézményei</t>
  </si>
  <si>
    <t>Vonyarcvashegy Nagyközség Önkormányzatának elemi kiadásai</t>
  </si>
  <si>
    <t>Vonyarcvashegyi Közös Önkormányzati Hivatal</t>
  </si>
  <si>
    <t>Vonyarcvashegy Nagyközség Önkormányzata tartalékai</t>
  </si>
  <si>
    <t>2023.</t>
  </si>
  <si>
    <t>2024.</t>
  </si>
  <si>
    <t>működési és felhalmozási célú bevételei és kiadásai</t>
  </si>
  <si>
    <t>Kiemelt előirányzatok</t>
  </si>
  <si>
    <t>Államigaz-gatási feladatok</t>
  </si>
  <si>
    <t>Vonyarcvashegy (székhely hivatal)</t>
  </si>
  <si>
    <t>Balatongyörök (kirendeltség)</t>
  </si>
  <si>
    <t>Ssz.</t>
  </si>
  <si>
    <t>Vonyarcvashegy Nagyközség Önkormányzata és Intézményei előirányzat felhasználási ütemterve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</si>
  <si>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</si>
  <si>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</si>
  <si>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</si>
  <si>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</si>
  <si>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</si>
  <si>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</si>
  <si>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</si>
  <si>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</si>
  <si>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</si>
  <si>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</si>
  <si>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</si>
  <si>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</si>
  <si>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Vonyarcvashegy Nagyközség Önkormányzata adósságot keletkeztető fejlesztési céljai, az ügyletekből és kezességvállalásokból fennálló kötelezettségei, valamint azok fedezetéül szolgáló saját bevételek</t>
  </si>
  <si>
    <t>Adósságot keletkeztető ügyletek várható együttes összege:</t>
  </si>
  <si>
    <t>2. Az adósságot keletkezető ügyletekből és kezességvállalásokból fennálló kötelezettségek</t>
  </si>
  <si>
    <t>Összes kötelezettség:</t>
  </si>
  <si>
    <t>3. Saját bevételek részletezése az adósságot keletkeztető ügyletből származó tárgyévi fizetési kötelezettség megállapításához</t>
  </si>
  <si>
    <t>*Az adósságot keletkeztető ügyletekhez történő hozzájárulás részletes szabályairól szóló 353/2011. (XII.31.) Korm. rendelet 2. § (1) bekezdése alapján.</t>
  </si>
  <si>
    <t>Költségvetési bevételek összesen:</t>
  </si>
  <si>
    <t>Költségvetési kiadások összesen:</t>
  </si>
  <si>
    <t>Hiány belső finanszírozásának bevételei:</t>
  </si>
  <si>
    <t>Hiány külső finanszírozásának bevételei:</t>
  </si>
  <si>
    <t>Működési célú finanszírozási bevételek összesen:</t>
  </si>
  <si>
    <t>Működési célú finanszírozási kiadások összesen:</t>
  </si>
  <si>
    <t xml:space="preserve">Költségvetési bevételek összesen:  </t>
  </si>
  <si>
    <t xml:space="preserve">Hiány belső finanszírozás bevételei  </t>
  </si>
  <si>
    <t xml:space="preserve">Hiány külső finanszírozásának bevételei  </t>
  </si>
  <si>
    <t xml:space="preserve">Felhalmozási célú finanszírozási bevételek összesen </t>
  </si>
  <si>
    <t xml:space="preserve">Költségvetési kiadások összesen:  </t>
  </si>
  <si>
    <t xml:space="preserve">Felhalmozási célú finanszírozási kiadások összesen  </t>
  </si>
  <si>
    <t>BEVÉTELEK FŐÖSSZEGE:</t>
  </si>
  <si>
    <t>KIADÁSOK FŐÖSSZEGE:</t>
  </si>
  <si>
    <t>BEVÉTELEK ÖSSZESEN:</t>
  </si>
  <si>
    <t>KIADÁSOK ÖSSZESEN:</t>
  </si>
  <si>
    <t>FELHALMOZÁSI JELLEGŰ BEVÉTELEK ÖSSZESEN:</t>
  </si>
  <si>
    <t>FELHALMOZÁSI JELLEGŰ KIADÁSOK ÖSSZESEN:</t>
  </si>
  <si>
    <t>TARTALÉKOK MINDÖSSZESEN:</t>
  </si>
  <si>
    <t>Záró pénzkészlet:</t>
  </si>
  <si>
    <t xml:space="preserve">Saját bevételek összesen*  </t>
  </si>
  <si>
    <t xml:space="preserve">Működési bevételek </t>
  </si>
  <si>
    <t>Felhalmozási célú támogatás államháztartáson belülről</t>
  </si>
  <si>
    <t xml:space="preserve">Felhalmozási bevételek </t>
  </si>
  <si>
    <t>Likviditási célú hitelek, kölcsönök felvételek pénzügyi vállalkozástól</t>
  </si>
  <si>
    <t xml:space="preserve">Finanszírozási felhalmozási bevételek  </t>
  </si>
  <si>
    <t xml:space="preserve">Beruházások </t>
  </si>
  <si>
    <t xml:space="preserve">Költségvetési felhalmozási kiadások </t>
  </si>
  <si>
    <t xml:space="preserve">Finanszírozási felhalmozási kiadások </t>
  </si>
  <si>
    <t>I. MŰKÖDÉSI KÖLTSÉGVETÉSI BEVÉTELEK</t>
  </si>
  <si>
    <t>Működési költségvetési bevételek összesen:</t>
  </si>
  <si>
    <t>II. FELHALMOZÁSI KÖLTSÉGVETÉSI BEVÉTELEK</t>
  </si>
  <si>
    <t>MŰKÖDÉSI KÖLTSÉGVETÉSI BEVÉTELEK MINDÖSSZESEN:</t>
  </si>
  <si>
    <t>Felhalmozási költségvetési bevételek összesen:</t>
  </si>
  <si>
    <t>FELHALMOZÁSI KÖLTSÉGVETÉSI BEVÉTELEK MINDÖSSZESEN:</t>
  </si>
  <si>
    <t>I. MŰKÖDÉSI KÖLTSÉGVETÉSI KIADÁSOK</t>
  </si>
  <si>
    <t>Működési költségvetési kiadások összesen:</t>
  </si>
  <si>
    <t>MŰKÖDÉSI KÖLTSÉGVETÉSI KIADÁSOK MINDÖSSZESEN:</t>
  </si>
  <si>
    <t>II. FELHALMOZÁSI KÖLTSÉGVETÉSI KIADÁSOK</t>
  </si>
  <si>
    <t>Felhalmozási költségvetési kiadások összesen:</t>
  </si>
  <si>
    <t>FELHALMOZÁSI KÖLTSÉGVETÉSI KIADÁSOK MINDÖSSZESEN:</t>
  </si>
  <si>
    <t>Finanszírozási működési bevételek összesen:</t>
  </si>
  <si>
    <t>Finanszírozási működési bevételek:</t>
  </si>
  <si>
    <t>Finanszírozási működési kiadások:</t>
  </si>
  <si>
    <t>DRV Zrt. Lakossági víz- és csatorna támogatás</t>
  </si>
  <si>
    <t>Egyéb Civil szervezetek</t>
  </si>
  <si>
    <t xml:space="preserve"> Egyéb működési cálú támogatásinak részletezése államháztartáson kívülre ÖSSZESEN:</t>
  </si>
  <si>
    <t>Központi, irányítószervi támogatás Áll.tám.: 5.655.020)</t>
  </si>
  <si>
    <t>K63.</t>
  </si>
  <si>
    <t>Informatikai eszközök beszerzése</t>
  </si>
  <si>
    <t>Egyéb tárgyi eszköz értékesítése</t>
  </si>
  <si>
    <t>Vonyarcvashegy Nagyközség Önkormányzata és intézményei</t>
  </si>
  <si>
    <t xml:space="preserve">Felhalmozási célú bevételek és kiadások mérlege </t>
  </si>
  <si>
    <t xml:space="preserve">Működési célú bevételek és kiadások mérlege </t>
  </si>
  <si>
    <t xml:space="preserve"> -ből Tartalékok</t>
  </si>
  <si>
    <t xml:space="preserve">felhalmozási jellegű bevételek és kiadások </t>
  </si>
  <si>
    <t>Immateriális javak (igazgatás)</t>
  </si>
  <si>
    <t>Bölcsőde pályázati támogatás</t>
  </si>
  <si>
    <t>Immateriális javak (bölcsőde)</t>
  </si>
  <si>
    <t>Immateriális javak (strand)</t>
  </si>
  <si>
    <t>Immateriális javak összesen:</t>
  </si>
  <si>
    <t>Beruházás-ingatlan (város- és községgazdálkodás)</t>
  </si>
  <si>
    <t>Beruházás-ingatlan (bölcsőde)</t>
  </si>
  <si>
    <t>Beruházás-ingatlan (orvosi szolgálati lakás)</t>
  </si>
  <si>
    <t>Beruházás-ingatlan (csapadékcsatorna)</t>
  </si>
  <si>
    <t>Beruházás-ingatlan (strand)</t>
  </si>
  <si>
    <t>Ingatlanok összesen:</t>
  </si>
  <si>
    <t>Informatikai eszközök (igazgatás)</t>
  </si>
  <si>
    <t>Informatikai eszközök (bölcsőde)</t>
  </si>
  <si>
    <t>Informatikai eszköz (strand)</t>
  </si>
  <si>
    <t>Informatikai eszköz összesen:</t>
  </si>
  <si>
    <t>Eszközbeszerzés (igazgatás)</t>
  </si>
  <si>
    <t>Eszközbeszerzés-kandelláber, lámpatest (közvilágítás)</t>
  </si>
  <si>
    <t>Eszközbeszerzés (város- és községgazdálkodás)</t>
  </si>
  <si>
    <t>Eszközbeszerzés-kisértékű és tárgyi (bölcsőde)</t>
  </si>
  <si>
    <t>Eszközbeszerzés (védőnő)</t>
  </si>
  <si>
    <t>Eszközbeszerzés (iskolaorvos)</t>
  </si>
  <si>
    <t>Eszközbeszerzés (strand)</t>
  </si>
  <si>
    <t>Egyéb tárgyi eszközök beszerzése összesen:</t>
  </si>
  <si>
    <t>Beruházás összesen:</t>
  </si>
  <si>
    <t>Útburkolás (közút fenntartás)</t>
  </si>
  <si>
    <t>Kőkeresztek felújítása (temető)</t>
  </si>
  <si>
    <t>Felújítás összesen:</t>
  </si>
  <si>
    <t>Önkormányzat összesen:</t>
  </si>
  <si>
    <t>Eszközbeszerzés</t>
  </si>
  <si>
    <t xml:space="preserve">Vonyarcvashegy Nagyközség Önkormányzatának és intézményeinek összevont bevételei </t>
  </si>
  <si>
    <t xml:space="preserve">Vonyarcvashegy Nagyközség Önkormányzatának és intézményeinek összevont kiadásai </t>
  </si>
  <si>
    <t>képviselő-testület</t>
  </si>
  <si>
    <t>Vonyarcvashegy Nagyközség Önkormányzata egyéb működési célú támogatásainak részletezése államháztartáson kívülre</t>
  </si>
  <si>
    <t>Nyugat-Balatoni Turisztikai Iroda Nonprofit Kft</t>
  </si>
  <si>
    <t>A "Vonyarcvashegyi Iskola Tanulóiért, a Tehetségekért" Közalapítvány</t>
  </si>
  <si>
    <t>Balaton Art Egyesület</t>
  </si>
  <si>
    <t>Kék Balaton Fúvós Egyesület</t>
  </si>
  <si>
    <t>Polgárőr Egyesület Vonyarcvashegy</t>
  </si>
  <si>
    <t>Szent Mihály-Hegy Védő és Vendégváró Egyesület</t>
  </si>
  <si>
    <t>Vonyarcvashegyi Sportegyesület</t>
  </si>
  <si>
    <t>Vonyarcvashegyi Kézilabda Utánpótlásért Alapítvány</t>
  </si>
  <si>
    <t>Vonyarcvashegyi Turisztikai Egyesület</t>
  </si>
  <si>
    <t>Eredeti előirányzat 2022.</t>
  </si>
  <si>
    <t>Eredeti előirányzat       2022.</t>
  </si>
  <si>
    <t>Módosított előirányzat        2021.</t>
  </si>
  <si>
    <t>Várható teljesítés 2021.</t>
  </si>
  <si>
    <t xml:space="preserve"> Módosított előirányzat        2021.</t>
  </si>
  <si>
    <t>B115.+B116</t>
  </si>
  <si>
    <t>Működési célú költségvetési tán. és kiegészítő tám.+ elszámolásból származó bevételek</t>
  </si>
  <si>
    <t>Vagyoni típusú adó ÉPA</t>
  </si>
  <si>
    <t>Egyéb közhatalmi bevételek (bírság, pótlék, talajterhelési díj)</t>
  </si>
  <si>
    <t>K84.+K89.</t>
  </si>
  <si>
    <t>Egyéb felhalmozási célú támogatások áht-n belülre+áht-n kívülre</t>
  </si>
  <si>
    <t>Elvonások és befizetések</t>
  </si>
  <si>
    <t>21.</t>
  </si>
  <si>
    <t>2025.</t>
  </si>
  <si>
    <t>2022. évi eredeti előirányzat</t>
  </si>
  <si>
    <t>Eredeti előirányzat 2022. (nettó)</t>
  </si>
  <si>
    <t>Eredeti előirányzat 2022. (áfa)</t>
  </si>
  <si>
    <t>Eredeti előirányzat 2022. (bruttó)</t>
  </si>
  <si>
    <t>Ingatlanértékesítés</t>
  </si>
  <si>
    <t>Immateriális javak (város- és községgazdálkodás)</t>
  </si>
  <si>
    <t>Vis maior pályázat (521638)</t>
  </si>
  <si>
    <t>Vis maior pályázat (521639)</t>
  </si>
  <si>
    <t>Beruházás-Ingatlan (közvilágítás)</t>
  </si>
  <si>
    <t>Beruházás-Ingatlan (zöldterület kezelés)</t>
  </si>
  <si>
    <t>Beruházás-ingatlan (sport)</t>
  </si>
  <si>
    <t>Fő út (144/3 Hrsz)-Vis maior pályázat (521638)</t>
  </si>
  <si>
    <t>Ady Endre utca (1457 Hrsz)-Vis maior pályázat (521639)</t>
  </si>
  <si>
    <t>2022. évi előirányzat</t>
  </si>
  <si>
    <t>2021. évi várható teljesítés</t>
  </si>
  <si>
    <t>1. 2022. évi adósságkeletkeztető fejlesztési célok</t>
  </si>
  <si>
    <t>Módosított előirányzat 2021.</t>
  </si>
  <si>
    <t>Előirányzat módosítás 2022.06</t>
  </si>
  <si>
    <t>Módosított előirányzat 2022.06</t>
  </si>
  <si>
    <t>.../2022. () önkormányzati rendelet 14. melléklete</t>
  </si>
  <si>
    <t>2022.06 előirányzat módosítás</t>
  </si>
  <si>
    <t>2022.06 módosított előirányzat</t>
  </si>
  <si>
    <t>.../2022. () önkormányzati rendelet 11. melléklete</t>
  </si>
  <si>
    <t>2022.06</t>
  </si>
  <si>
    <t>Módosított előirnyzat 2022.06</t>
  </si>
  <si>
    <t>Balatoni Vízi Polgárőr Egyesület</t>
  </si>
  <si>
    <t>Vonyarcvashegy FC</t>
  </si>
  <si>
    <t>2022.01</t>
  </si>
  <si>
    <t>Áht-n belüli megelőlegezések</t>
  </si>
  <si>
    <t>Csapadékcsatorna pályázati támogatás</t>
  </si>
  <si>
    <t>Strand pályázati támogatás</t>
  </si>
  <si>
    <t>Szabadtéri színpad-villamos rekonstrukció</t>
  </si>
  <si>
    <t>Beruházás-ingatlan (strand pályázat)</t>
  </si>
  <si>
    <t>Eszközbeszerzés (strand pályázat)</t>
  </si>
  <si>
    <t>Beruházás-ingatlan (óvoda-gázfűtés)</t>
  </si>
  <si>
    <t>Eszközbeszerzés (óvoda-gázfűtés)</t>
  </si>
  <si>
    <t>Módosított előirányzat       2022.06</t>
  </si>
  <si>
    <t>Előirányzat módosítás 2022.09</t>
  </si>
  <si>
    <t>Módosított előirányzat 2022.09</t>
  </si>
  <si>
    <t>2022.09 előirányzat módosítás</t>
  </si>
  <si>
    <t>2022.09 módosított előirányzat</t>
  </si>
  <si>
    <t>2022.09</t>
  </si>
  <si>
    <t>Előirányzat módosítás (2022.06)</t>
  </si>
  <si>
    <t>Módosított előirányzat (2022.06)</t>
  </si>
  <si>
    <t>Előirányzat módosítás (2022.09)</t>
  </si>
  <si>
    <t>Módosított előirányzat (2022.09)</t>
  </si>
  <si>
    <t>Művelődési Ház és Könyvtár Vonyarcvashegy</t>
  </si>
  <si>
    <t>Módosított előirányzat       2022.09</t>
  </si>
  <si>
    <t>Módosított előirnyzat 2022.09</t>
  </si>
  <si>
    <t>Hőszivattyú átkötése-Óvoda</t>
  </si>
  <si>
    <t>Tornaterem ajtócsere-Iskola</t>
  </si>
  <si>
    <t>Beruházás-ingatlan (temető)-Urnasír</t>
  </si>
  <si>
    <t xml:space="preserve">ebből - </t>
  </si>
  <si>
    <t>polgármester</t>
  </si>
  <si>
    <t>1/2022. (I. 27.) önkormányzati rendelet 1. melléklete</t>
  </si>
  <si>
    <t>.../2022. (IX. 30.) önkormányzati rendelet 1. melléklete</t>
  </si>
  <si>
    <t>.../2022. (IX. 30.) önkormányzati rendelet 2. melléklete</t>
  </si>
  <si>
    <t>.../2022. (IX. 30.) önkormányzati rendelet 3. melléklete</t>
  </si>
  <si>
    <t>1/2022. (I. 27.) önkormányzati rendelet 4. melléklete</t>
  </si>
  <si>
    <t>1/2022. (I. 27.) önkormányzati rendelet 5. melléklete</t>
  </si>
  <si>
    <t>.../2022. (IX. 30.) önkormányzati rendelet 6. melléklete</t>
  </si>
  <si>
    <t>.../2022. (IX. 30.) önkormányzati rendelet 5. melléklete</t>
  </si>
  <si>
    <t>.../2022. (IX. 30.) önkormányzati rendelet 4. melléklete</t>
  </si>
  <si>
    <t>.../2022. (IX. 30.) önkormányzati rendelet 7. melléklete</t>
  </si>
  <si>
    <t>.../2022. (IX. 30.) önkormányzati rendelet 8. melléklete</t>
  </si>
  <si>
    <t>.../2022. (IX. 30.) önkormányzati rendelet 9. melléklete</t>
  </si>
  <si>
    <t>.../2022. (IX. 30.) önkormányzati rendelet 10. melléklete</t>
  </si>
  <si>
    <t>.../2022. (IX. 30.) önkormányzati rendelet 11. melléklete</t>
  </si>
  <si>
    <t>.../2022. (IX. 30.) önkormányzati rendelet 12. melléklete</t>
  </si>
  <si>
    <t>.../2022. (IX. 30.) önkormányzati rendelet 13. melléklete</t>
  </si>
  <si>
    <t>.../2022. () önkormányzati rendelet 15. melléklete</t>
  </si>
  <si>
    <t>.../2022. () önkormányzati rendelet 16. melléklete</t>
  </si>
  <si>
    <t>1/2022. (I. 27.) önkormányzati rendelet 2. melléklete</t>
  </si>
  <si>
    <t>1/2022. (I. 27.) önkormányzati rendelet 3. melléklete</t>
  </si>
  <si>
    <t>1/2022. (I. 27.) önkormányzati rendelet 6. melléklete</t>
  </si>
  <si>
    <t>1/2022. (I. 27.) önkormányzati rendelet 7. melléklete</t>
  </si>
  <si>
    <t>1/2022. (I. 27.) önkormányzati rendelet 8. melléklete</t>
  </si>
  <si>
    <t>1/2022. (I. 27.) önkormányzati rendelet 9. melléklete</t>
  </si>
  <si>
    <t>1/2022. (I. 27.) önkormányzati rendelet 11. melléklete</t>
  </si>
  <si>
    <t>1/2022. (I. 27.) önkormányzati rendelet 12. melléklete</t>
  </si>
  <si>
    <t>1/2022. (I. 27.) önkormányzati rendelet 13. melléklete</t>
  </si>
  <si>
    <t>1/2022. (I. 27.) önkormányzati rendelet 14. melléklete</t>
  </si>
  <si>
    <t>1/2022. (I. 27.) önkormányzati rendelet 17. melléklete</t>
  </si>
  <si>
    <t>1/2022. (I. 27.) önkormányzati rendelet 20. melléklete</t>
  </si>
  <si>
    <t>1/2022. (I. 27.) önkormányzati rendelet 23.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</si>
</sst>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#"/>
    <numFmt numFmtId="167" formatCode="0&quot;.&quot;"/>
  </numFmts>
  <fonts count="6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Times New Roman CE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1.5"/>
      <name val="Times New Roman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</font>
    <font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4"/>
      <name val="Times New Roman CE"/>
      <charset val="238"/>
    </font>
    <font>
      <b/>
      <i/>
      <sz val="11"/>
      <name val="Calibri"/>
      <family val="2"/>
      <charset val="238"/>
    </font>
    <font>
      <b/>
      <sz val="14"/>
      <name val="Arial CE"/>
      <charset val="238"/>
    </font>
    <font>
      <sz val="12"/>
      <name val="Calibri"/>
      <family val="2"/>
      <charset val="238"/>
      <scheme val="minor"/>
    </font>
    <font>
      <i/>
      <sz val="10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1" fillId="0" borderId="0"/>
    <xf numFmtId="0" fontId="10" fillId="0" borderId="0"/>
    <xf numFmtId="0" fontId="18" fillId="0" borderId="0"/>
    <xf numFmtId="0" fontId="18" fillId="0" borderId="0"/>
    <xf numFmtId="0" fontId="1" fillId="0" borderId="0"/>
    <xf numFmtId="0" fontId="28" fillId="0" borderId="0"/>
    <xf numFmtId="0" fontId="32" fillId="0" borderId="0"/>
    <xf numFmtId="0" fontId="1" fillId="0" borderId="0"/>
    <xf numFmtId="0" fontId="1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0" fillId="0" borderId="0"/>
    <xf numFmtId="0" fontId="18" fillId="0" borderId="0"/>
    <xf numFmtId="0" fontId="19" fillId="0" borderId="0"/>
    <xf numFmtId="0" fontId="18" fillId="0" borderId="0"/>
    <xf numFmtId="0" fontId="4" fillId="22" borderId="7" applyNumberFormat="0" applyFont="0" applyAlignment="0" applyProtection="0"/>
    <xf numFmtId="0" fontId="20" fillId="20" borderId="8" applyNumberFormat="0" applyAlignment="0" applyProtection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82">
    <xf numFmtId="0" fontId="0" fillId="0" borderId="0" xfId="0"/>
    <xf numFmtId="0" fontId="24" fillId="0" borderId="0" xfId="43" applyFont="1"/>
    <xf numFmtId="0" fontId="3" fillId="0" borderId="0" xfId="43" applyFont="1"/>
    <xf numFmtId="0" fontId="25" fillId="0" borderId="0" xfId="43" applyFont="1"/>
    <xf numFmtId="0" fontId="2" fillId="0" borderId="0" xfId="43" applyFont="1"/>
    <xf numFmtId="0" fontId="26" fillId="0" borderId="0" xfId="43" applyFont="1"/>
    <xf numFmtId="0" fontId="27" fillId="0" borderId="0" xfId="43" applyFont="1"/>
    <xf numFmtId="0" fontId="31" fillId="0" borderId="0" xfId="60" applyFont="1"/>
    <xf numFmtId="0" fontId="2" fillId="0" borderId="0" xfId="49" applyFont="1"/>
    <xf numFmtId="166" fontId="29" fillId="0" borderId="0" xfId="57" applyNumberFormat="1" applyFont="1" applyAlignment="1">
      <alignment horizontal="center" vertical="center" wrapText="1"/>
    </xf>
    <xf numFmtId="166" fontId="36" fillId="0" borderId="0" xfId="57" applyNumberFormat="1" applyFont="1" applyAlignment="1">
      <alignment vertical="center" wrapText="1"/>
    </xf>
    <xf numFmtId="0" fontId="40" fillId="0" borderId="0" xfId="56" applyFont="1"/>
    <xf numFmtId="0" fontId="37" fillId="0" borderId="0" xfId="57" applyFont="1" applyAlignment="1">
      <alignment horizontal="right" wrapText="1"/>
    </xf>
    <xf numFmtId="166" fontId="35" fillId="0" borderId="0" xfId="57" applyNumberFormat="1" applyFont="1" applyAlignment="1">
      <alignment horizontal="center" vertical="center" wrapText="1"/>
    </xf>
    <xf numFmtId="0" fontId="41" fillId="0" borderId="0" xfId="57" applyFont="1"/>
    <xf numFmtId="0" fontId="42" fillId="0" borderId="0" xfId="56" applyFont="1"/>
    <xf numFmtId="0" fontId="38" fillId="0" borderId="0" xfId="57" applyFont="1"/>
    <xf numFmtId="0" fontId="10" fillId="0" borderId="0" xfId="56" applyFont="1"/>
    <xf numFmtId="0" fontId="43" fillId="0" borderId="0" xfId="56" applyFont="1"/>
    <xf numFmtId="0" fontId="42" fillId="0" borderId="0" xfId="56" applyFont="1" applyAlignment="1">
      <alignment wrapText="1"/>
    </xf>
    <xf numFmtId="0" fontId="44" fillId="0" borderId="0" xfId="60" applyFont="1" applyAlignment="1" applyProtection="1">
      <alignment horizontal="right"/>
    </xf>
    <xf numFmtId="0" fontId="45" fillId="0" borderId="0" xfId="60" applyFont="1" applyAlignment="1" applyProtection="1">
      <alignment horizontal="right"/>
    </xf>
    <xf numFmtId="0" fontId="46" fillId="0" borderId="0" xfId="60" applyFont="1" applyProtection="1"/>
    <xf numFmtId="0" fontId="48" fillId="0" borderId="10" xfId="43" applyFont="1" applyBorder="1" applyAlignment="1">
      <alignment wrapText="1"/>
    </xf>
    <xf numFmtId="3" fontId="48" fillId="0" borderId="10" xfId="0" applyNumberFormat="1" applyFont="1" applyBorder="1" applyAlignment="1" applyProtection="1">
      <alignment horizontal="right" wrapText="1"/>
      <protection locked="0"/>
    </xf>
    <xf numFmtId="3" fontId="48" fillId="0" borderId="10" xfId="43" applyNumberFormat="1" applyFont="1" applyBorder="1" applyAlignment="1" applyProtection="1">
      <alignment horizontal="right" wrapText="1"/>
      <protection locked="0"/>
    </xf>
    <xf numFmtId="0" fontId="47" fillId="0" borderId="10" xfId="43" applyFont="1" applyBorder="1" applyAlignment="1">
      <alignment wrapText="1"/>
    </xf>
    <xf numFmtId="0" fontId="48" fillId="0" borderId="0" xfId="60" applyFont="1"/>
    <xf numFmtId="0" fontId="47" fillId="0" borderId="0" xfId="60" applyFont="1" applyAlignment="1">
      <alignment horizontal="right"/>
    </xf>
    <xf numFmtId="0" fontId="47" fillId="0" borderId="0" xfId="51" applyFont="1" applyAlignment="1">
      <alignment horizontal="right"/>
    </xf>
    <xf numFmtId="0" fontId="48" fillId="0" borderId="0" xfId="51" applyFont="1" applyAlignment="1">
      <alignment horizontal="right"/>
    </xf>
    <xf numFmtId="0" fontId="47" fillId="0" borderId="0" xfId="51" applyFont="1" applyAlignment="1">
      <alignment horizontal="center"/>
    </xf>
    <xf numFmtId="0" fontId="48" fillId="0" borderId="0" xfId="51" applyFont="1" applyAlignment="1">
      <alignment horizontal="center"/>
    </xf>
    <xf numFmtId="0" fontId="47" fillId="26" borderId="10" xfId="51" applyFont="1" applyFill="1" applyBorder="1" applyAlignment="1">
      <alignment horizontal="left" vertical="center"/>
    </xf>
    <xf numFmtId="3" fontId="47" fillId="26" borderId="10" xfId="51" applyNumberFormat="1" applyFont="1" applyFill="1" applyBorder="1" applyAlignment="1">
      <alignment vertical="center"/>
    </xf>
    <xf numFmtId="166" fontId="48" fillId="0" borderId="0" xfId="57" applyNumberFormat="1" applyFont="1" applyAlignment="1">
      <alignment vertical="center" wrapText="1"/>
    </xf>
    <xf numFmtId="166" fontId="48" fillId="0" borderId="0" xfId="57" applyNumberFormat="1" applyFont="1" applyAlignment="1">
      <alignment horizontal="centerContinuous" vertical="center"/>
    </xf>
    <xf numFmtId="166" fontId="47" fillId="0" borderId="0" xfId="57" applyNumberFormat="1" applyFont="1" applyAlignment="1">
      <alignment horizontal="centerContinuous" vertical="center"/>
    </xf>
    <xf numFmtId="166" fontId="48" fillId="0" borderId="0" xfId="57" applyNumberFormat="1" applyFont="1" applyAlignment="1">
      <alignment horizontal="right" vertical="center"/>
    </xf>
    <xf numFmtId="166" fontId="48" fillId="0" borderId="10" xfId="57" applyNumberFormat="1" applyFont="1" applyBorder="1" applyAlignment="1" applyProtection="1">
      <alignment horizontal="right" vertical="center" wrapText="1" indent="1"/>
      <protection locked="0"/>
    </xf>
    <xf numFmtId="166" fontId="48" fillId="0" borderId="10" xfId="57" applyNumberFormat="1" applyFont="1" applyBorder="1" applyAlignment="1">
      <alignment horizontal="left" vertical="center" wrapText="1" indent="1"/>
    </xf>
    <xf numFmtId="166" fontId="48" fillId="0" borderId="10" xfId="57" applyNumberFormat="1" applyFont="1" applyBorder="1" applyAlignment="1" applyProtection="1">
      <alignment horizontal="left" vertical="center" wrapText="1" indent="1"/>
      <protection locked="0"/>
    </xf>
    <xf numFmtId="166" fontId="47" fillId="0" borderId="10" xfId="57" applyNumberFormat="1" applyFont="1" applyBorder="1" applyAlignment="1">
      <alignment horizontal="left" vertical="center" wrapText="1" indent="1"/>
    </xf>
    <xf numFmtId="166" fontId="47" fillId="0" borderId="10" xfId="57" applyNumberFormat="1" applyFont="1" applyBorder="1" applyAlignment="1">
      <alignment horizontal="right" vertical="center" wrapText="1" indent="1"/>
    </xf>
    <xf numFmtId="166" fontId="47" fillId="26" borderId="10" xfId="57" applyNumberFormat="1" applyFont="1" applyFill="1" applyBorder="1" applyAlignment="1">
      <alignment horizontal="left" vertical="center" wrapText="1" indent="1"/>
    </xf>
    <xf numFmtId="166" fontId="47" fillId="26" borderId="10" xfId="57" applyNumberFormat="1" applyFont="1" applyFill="1" applyBorder="1" applyAlignment="1">
      <alignment horizontal="right" vertical="center" wrapText="1" indent="1"/>
    </xf>
    <xf numFmtId="166" fontId="48" fillId="0" borderId="0" xfId="57" applyNumberFormat="1" applyFont="1" applyAlignment="1">
      <alignment horizontal="center" vertical="center" wrapText="1"/>
    </xf>
    <xf numFmtId="166" fontId="48" fillId="0" borderId="10" xfId="57" applyNumberFormat="1" applyFont="1" applyBorder="1" applyAlignment="1">
      <alignment horizontal="left" vertical="center" wrapText="1" indent="2"/>
    </xf>
    <xf numFmtId="166" fontId="48" fillId="0" borderId="10" xfId="57" applyNumberFormat="1" applyFont="1" applyBorder="1" applyAlignment="1">
      <alignment horizontal="right" vertical="center" wrapText="1" indent="1"/>
    </xf>
    <xf numFmtId="0" fontId="47" fillId="0" borderId="0" xfId="56" applyFont="1" applyAlignment="1">
      <alignment horizontal="center" vertical="center" wrapText="1"/>
    </xf>
    <xf numFmtId="166" fontId="47" fillId="0" borderId="0" xfId="56" applyNumberFormat="1" applyFont="1" applyAlignment="1">
      <alignment horizontal="centerContinuous" vertical="center" wrapText="1"/>
    </xf>
    <xf numFmtId="165" fontId="47" fillId="0" borderId="0" xfId="34" applyNumberFormat="1" applyFont="1" applyAlignment="1">
      <alignment horizontal="center" wrapText="1"/>
    </xf>
    <xf numFmtId="0" fontId="48" fillId="0" borderId="10" xfId="56" applyFont="1" applyBorder="1" applyAlignment="1" applyProtection="1">
      <alignment wrapText="1"/>
      <protection locked="0"/>
    </xf>
    <xf numFmtId="165" fontId="48" fillId="0" borderId="10" xfId="34" applyNumberFormat="1" applyFont="1" applyBorder="1" applyAlignment="1" applyProtection="1">
      <alignment wrapText="1"/>
      <protection locked="0"/>
    </xf>
    <xf numFmtId="0" fontId="47" fillId="0" borderId="0" xfId="56" applyFont="1" applyAlignment="1">
      <alignment wrapText="1"/>
    </xf>
    <xf numFmtId="165" fontId="47" fillId="0" borderId="0" xfId="56" applyNumberFormat="1" applyFont="1" applyAlignment="1">
      <alignment wrapText="1"/>
    </xf>
    <xf numFmtId="0" fontId="48" fillId="0" borderId="0" xfId="56" applyFont="1" applyAlignment="1">
      <alignment wrapText="1"/>
    </xf>
    <xf numFmtId="0" fontId="48" fillId="0" borderId="10" xfId="56" applyFont="1" applyBorder="1" applyAlignment="1">
      <alignment horizontal="center" vertical="center" wrapText="1"/>
    </xf>
    <xf numFmtId="0" fontId="48" fillId="26" borderId="10" xfId="56" applyFont="1" applyFill="1" applyBorder="1" applyAlignment="1">
      <alignment horizontal="center" vertical="center" wrapText="1"/>
    </xf>
    <xf numFmtId="165" fontId="47" fillId="0" borderId="0" xfId="34" applyNumberFormat="1" applyFont="1" applyBorder="1" applyAlignment="1">
      <alignment wrapText="1"/>
    </xf>
    <xf numFmtId="0" fontId="47" fillId="0" borderId="0" xfId="56" applyFont="1" applyBorder="1" applyAlignment="1">
      <alignment wrapText="1"/>
    </xf>
    <xf numFmtId="167" fontId="47" fillId="26" borderId="10" xfId="56" applyNumberFormat="1" applyFont="1" applyFill="1" applyBorder="1" applyAlignment="1">
      <alignment horizontal="center" vertical="center" wrapText="1"/>
    </xf>
    <xf numFmtId="165" fontId="47" fillId="26" borderId="10" xfId="56" applyNumberFormat="1" applyFont="1" applyFill="1" applyBorder="1" applyAlignment="1">
      <alignment wrapText="1"/>
    </xf>
    <xf numFmtId="165" fontId="47" fillId="26" borderId="10" xfId="34" applyNumberFormat="1" applyFont="1" applyFill="1" applyBorder="1" applyAlignment="1">
      <alignment wrapText="1"/>
    </xf>
    <xf numFmtId="0" fontId="48" fillId="0" borderId="0" xfId="54" applyFont="1"/>
    <xf numFmtId="0" fontId="48" fillId="0" borderId="10" xfId="52" applyFont="1" applyBorder="1" applyAlignment="1">
      <alignment vertical="distributed"/>
    </xf>
    <xf numFmtId="3" fontId="47" fillId="26" borderId="10" xfId="60" applyNumberFormat="1" applyFont="1" applyFill="1" applyBorder="1" applyAlignment="1" applyProtection="1">
      <alignment shrinkToFit="1"/>
    </xf>
    <xf numFmtId="3" fontId="47" fillId="26" borderId="18" xfId="60" applyNumberFormat="1" applyFont="1" applyFill="1" applyBorder="1" applyAlignment="1" applyProtection="1">
      <alignment shrinkToFit="1"/>
    </xf>
    <xf numFmtId="3" fontId="47" fillId="26" borderId="10" xfId="60" applyNumberFormat="1" applyFont="1" applyFill="1" applyBorder="1" applyAlignment="1" applyProtection="1">
      <alignment vertical="center" shrinkToFit="1"/>
    </xf>
    <xf numFmtId="3" fontId="47" fillId="26" borderId="18" xfId="60" applyNumberFormat="1" applyFont="1" applyFill="1" applyBorder="1" applyAlignment="1" applyProtection="1">
      <alignment vertical="center" shrinkToFit="1"/>
    </xf>
    <xf numFmtId="0" fontId="47" fillId="26" borderId="10" xfId="60" applyFont="1" applyFill="1" applyBorder="1" applyAlignment="1" applyProtection="1">
      <alignment horizontal="center" vertical="center"/>
    </xf>
    <xf numFmtId="0" fontId="47" fillId="26" borderId="10" xfId="60" applyFont="1" applyFill="1" applyBorder="1" applyAlignment="1" applyProtection="1">
      <alignment horizontal="center" vertical="center" wrapText="1"/>
    </xf>
    <xf numFmtId="0" fontId="47" fillId="26" borderId="18" xfId="60" applyFont="1" applyFill="1" applyBorder="1" applyAlignment="1" applyProtection="1">
      <alignment horizontal="center" vertical="center" wrapText="1"/>
    </xf>
    <xf numFmtId="0" fontId="47" fillId="26" borderId="19" xfId="60" applyFont="1" applyFill="1" applyBorder="1" applyAlignment="1" applyProtection="1">
      <alignment horizontal="center" vertical="center"/>
    </xf>
    <xf numFmtId="0" fontId="47" fillId="26" borderId="10" xfId="51" applyFont="1" applyFill="1" applyBorder="1" applyAlignment="1">
      <alignment horizontal="center" vertical="center" wrapText="1"/>
    </xf>
    <xf numFmtId="166" fontId="47" fillId="26" borderId="10" xfId="57" applyNumberFormat="1" applyFont="1" applyFill="1" applyBorder="1" applyAlignment="1">
      <alignment horizontal="centerContinuous" vertical="center" wrapText="1"/>
    </xf>
    <xf numFmtId="3" fontId="48" fillId="28" borderId="10" xfId="60" applyNumberFormat="1" applyFont="1" applyFill="1" applyBorder="1" applyAlignment="1" applyProtection="1">
      <alignment vertical="center" shrinkToFit="1"/>
    </xf>
    <xf numFmtId="3" fontId="48" fillId="0" borderId="10" xfId="60" applyNumberFormat="1" applyFont="1" applyFill="1" applyBorder="1" applyAlignment="1" applyProtection="1">
      <alignment vertical="center" shrinkToFit="1"/>
      <protection locked="0"/>
    </xf>
    <xf numFmtId="3" fontId="48" fillId="0" borderId="18" xfId="60" applyNumberFormat="1" applyFont="1" applyFill="1" applyBorder="1" applyAlignment="1" applyProtection="1">
      <alignment vertical="center" shrinkToFit="1"/>
      <protection locked="0"/>
    </xf>
    <xf numFmtId="0" fontId="47" fillId="0" borderId="10" xfId="60" applyFont="1" applyFill="1" applyBorder="1" applyAlignment="1" applyProtection="1">
      <alignment shrinkToFit="1"/>
    </xf>
    <xf numFmtId="0" fontId="48" fillId="0" borderId="10" xfId="60" applyFont="1" applyFill="1" applyBorder="1" applyAlignment="1" applyProtection="1">
      <alignment horizontal="left" vertical="center" shrinkToFit="1"/>
    </xf>
    <xf numFmtId="3" fontId="48" fillId="0" borderId="10" xfId="53" applyNumberFormat="1" applyFont="1" applyFill="1" applyBorder="1" applyAlignment="1" applyProtection="1">
      <alignment horizontal="right" shrinkToFit="1"/>
      <protection locked="0"/>
    </xf>
    <xf numFmtId="0" fontId="48" fillId="0" borderId="10" xfId="53" applyFont="1" applyFill="1" applyBorder="1" applyAlignment="1" applyProtection="1">
      <alignment horizontal="left" shrinkToFit="1"/>
    </xf>
    <xf numFmtId="3" fontId="48" fillId="0" borderId="10" xfId="60" applyNumberFormat="1" applyFont="1" applyFill="1" applyBorder="1" applyAlignment="1" applyProtection="1">
      <alignment horizontal="right" vertical="center" shrinkToFit="1"/>
      <protection locked="0"/>
    </xf>
    <xf numFmtId="3" fontId="48" fillId="0" borderId="18" xfId="60" applyNumberFormat="1" applyFont="1" applyFill="1" applyBorder="1" applyAlignment="1" applyProtection="1">
      <alignment horizontal="right" vertical="center" shrinkToFit="1"/>
      <protection locked="0"/>
    </xf>
    <xf numFmtId="0" fontId="46" fillId="0" borderId="10" xfId="60" applyFont="1" applyFill="1" applyBorder="1" applyAlignment="1" applyProtection="1">
      <alignment horizontal="left" vertical="center" shrinkToFit="1"/>
    </xf>
    <xf numFmtId="3" fontId="47" fillId="0" borderId="10" xfId="60" applyNumberFormat="1" applyFont="1" applyFill="1" applyBorder="1" applyAlignment="1" applyProtection="1">
      <alignment horizontal="right" vertical="center" shrinkToFit="1"/>
      <protection locked="0"/>
    </xf>
    <xf numFmtId="3" fontId="47" fillId="0" borderId="18" xfId="60" applyNumberFormat="1" applyFont="1" applyFill="1" applyBorder="1" applyAlignment="1" applyProtection="1">
      <alignment horizontal="right" vertical="center" shrinkToFit="1"/>
      <protection locked="0"/>
    </xf>
    <xf numFmtId="3" fontId="47" fillId="0" borderId="10" xfId="60" applyNumberFormat="1" applyFont="1" applyFill="1" applyBorder="1" applyAlignment="1" applyProtection="1">
      <alignment horizontal="right" vertical="center" shrinkToFit="1"/>
    </xf>
    <xf numFmtId="3" fontId="47" fillId="0" borderId="18" xfId="60" applyNumberFormat="1" applyFont="1" applyFill="1" applyBorder="1" applyAlignment="1" applyProtection="1">
      <alignment horizontal="right" vertical="center" shrinkToFit="1"/>
    </xf>
    <xf numFmtId="3" fontId="47" fillId="0" borderId="10" xfId="60" applyNumberFormat="1" applyFont="1" applyFill="1" applyBorder="1" applyAlignment="1" applyProtection="1">
      <alignment vertical="center" shrinkToFit="1"/>
    </xf>
    <xf numFmtId="3" fontId="47" fillId="0" borderId="10" xfId="60" applyNumberFormat="1" applyFont="1" applyFill="1" applyBorder="1" applyAlignment="1" applyProtection="1">
      <alignment vertical="center" shrinkToFit="1"/>
      <protection locked="0"/>
    </xf>
    <xf numFmtId="3" fontId="48" fillId="0" borderId="10" xfId="60" applyNumberFormat="1" applyFont="1" applyFill="1" applyBorder="1" applyAlignment="1" applyProtection="1">
      <alignment shrinkToFit="1"/>
      <protection locked="0"/>
    </xf>
    <xf numFmtId="0" fontId="47" fillId="0" borderId="10" xfId="60" applyFont="1" applyFill="1" applyBorder="1" applyAlignment="1" applyProtection="1">
      <alignment vertical="center" shrinkToFit="1"/>
    </xf>
    <xf numFmtId="3" fontId="47" fillId="0" borderId="10" xfId="60" applyNumberFormat="1" applyFont="1" applyFill="1" applyBorder="1" applyAlignment="1" applyProtection="1">
      <alignment shrinkToFit="1"/>
    </xf>
    <xf numFmtId="3" fontId="47" fillId="0" borderId="18" xfId="60" applyNumberFormat="1" applyFont="1" applyFill="1" applyBorder="1" applyAlignment="1" applyProtection="1">
      <alignment shrinkToFit="1"/>
    </xf>
    <xf numFmtId="3" fontId="47" fillId="0" borderId="18" xfId="60" applyNumberFormat="1" applyFont="1" applyFill="1" applyBorder="1" applyAlignment="1" applyProtection="1">
      <alignment vertical="center" shrinkToFit="1"/>
    </xf>
    <xf numFmtId="3" fontId="48" fillId="0" borderId="10" xfId="60" applyNumberFormat="1" applyFont="1" applyFill="1" applyBorder="1" applyAlignment="1" applyProtection="1">
      <alignment vertical="center" shrinkToFit="1"/>
    </xf>
    <xf numFmtId="3" fontId="47" fillId="0" borderId="18" xfId="60" applyNumberFormat="1" applyFont="1" applyFill="1" applyBorder="1" applyAlignment="1" applyProtection="1">
      <alignment vertical="center" shrinkToFit="1"/>
      <protection locked="0"/>
    </xf>
    <xf numFmtId="3" fontId="48" fillId="0" borderId="18" xfId="60" applyNumberFormat="1" applyFont="1" applyFill="1" applyBorder="1" applyAlignment="1" applyProtection="1">
      <alignment vertical="center" shrinkToFit="1"/>
    </xf>
    <xf numFmtId="0" fontId="46" fillId="0" borderId="10" xfId="60" applyFont="1" applyFill="1" applyBorder="1" applyAlignment="1" applyProtection="1">
      <alignment vertical="center" shrinkToFit="1"/>
    </xf>
    <xf numFmtId="0" fontId="48" fillId="0" borderId="10" xfId="60" applyFont="1" applyFill="1" applyBorder="1" applyAlignment="1" applyProtection="1">
      <alignment vertical="center" shrinkToFit="1"/>
    </xf>
    <xf numFmtId="3" fontId="48" fillId="28" borderId="18" xfId="60" applyNumberFormat="1" applyFont="1" applyFill="1" applyBorder="1" applyAlignment="1" applyProtection="1">
      <alignment vertical="center" shrinkToFit="1"/>
    </xf>
    <xf numFmtId="3" fontId="48" fillId="28" borderId="10" xfId="60" applyNumberFormat="1" applyFont="1" applyFill="1" applyBorder="1" applyAlignment="1" applyProtection="1">
      <alignment shrinkToFit="1"/>
    </xf>
    <xf numFmtId="3" fontId="48" fillId="0" borderId="10" xfId="57" applyNumberFormat="1" applyFont="1" applyBorder="1" applyAlignment="1" applyProtection="1">
      <alignment horizontal="right" vertical="center" wrapText="1" indent="1"/>
      <protection locked="0"/>
    </xf>
    <xf numFmtId="165" fontId="1" fillId="0" borderId="0" xfId="29" applyNumberFormat="1" applyFont="1"/>
    <xf numFmtId="165" fontId="48" fillId="30" borderId="10" xfId="60" applyNumberFormat="1" applyFont="1" applyFill="1" applyBorder="1" applyAlignment="1">
      <alignment horizontal="center" vertical="center" wrapText="1"/>
    </xf>
    <xf numFmtId="49" fontId="48" fillId="0" borderId="10" xfId="52" applyNumberFormat="1" applyFont="1" applyBorder="1" applyAlignment="1">
      <alignment vertical="distributed"/>
    </xf>
    <xf numFmtId="3" fontId="48" fillId="0" borderId="10" xfId="60" applyNumberFormat="1" applyFont="1" applyFill="1" applyBorder="1" applyAlignment="1" applyProtection="1">
      <alignment horizontal="right" vertical="center" shrinkToFit="1"/>
    </xf>
    <xf numFmtId="3" fontId="18" fillId="0" borderId="0" xfId="60" applyNumberFormat="1" applyFont="1"/>
    <xf numFmtId="0" fontId="38" fillId="0" borderId="0" xfId="51" applyFont="1"/>
    <xf numFmtId="0" fontId="34" fillId="0" borderId="0" xfId="51" applyFont="1"/>
    <xf numFmtId="0" fontId="33" fillId="0" borderId="0" xfId="51" applyFont="1"/>
    <xf numFmtId="166" fontId="48" fillId="0" borderId="10" xfId="51" applyNumberFormat="1" applyFont="1" applyBorder="1" applyAlignment="1" applyProtection="1">
      <alignment horizontal="left" vertical="center" shrinkToFit="1"/>
      <protection locked="0"/>
    </xf>
    <xf numFmtId="3" fontId="48" fillId="0" borderId="10" xfId="51" applyNumberFormat="1" applyFont="1" applyBorder="1" applyAlignment="1">
      <alignment shrinkToFit="1"/>
    </xf>
    <xf numFmtId="166" fontId="47" fillId="0" borderId="10" xfId="51" applyNumberFormat="1" applyFont="1" applyBorder="1" applyAlignment="1" applyProtection="1">
      <alignment horizontal="left" vertical="center" shrinkToFit="1"/>
      <protection locked="0"/>
    </xf>
    <xf numFmtId="166" fontId="48" fillId="0" borderId="10" xfId="51" applyNumberFormat="1" applyFont="1" applyBorder="1" applyAlignment="1" applyProtection="1">
      <alignment horizontal="right" vertical="center" shrinkToFit="1"/>
      <protection locked="0"/>
    </xf>
    <xf numFmtId="3" fontId="47" fillId="0" borderId="10" xfId="51" applyNumberFormat="1" applyFont="1" applyBorder="1" applyAlignment="1" applyProtection="1">
      <alignment vertical="center" shrinkToFit="1"/>
      <protection locked="0"/>
    </xf>
    <xf numFmtId="0" fontId="47" fillId="0" borderId="10" xfId="51" applyFont="1" applyBorder="1" applyAlignment="1">
      <alignment shrinkToFit="1"/>
    </xf>
    <xf numFmtId="3" fontId="47" fillId="0" borderId="10" xfId="51" applyNumberFormat="1" applyFont="1" applyBorder="1" applyAlignment="1">
      <alignment shrinkToFit="1"/>
    </xf>
    <xf numFmtId="3" fontId="48" fillId="0" borderId="10" xfId="51" applyNumberFormat="1" applyFont="1" applyBorder="1" applyAlignment="1" applyProtection="1">
      <alignment vertical="center" shrinkToFit="1"/>
      <protection locked="0"/>
    </xf>
    <xf numFmtId="0" fontId="48" fillId="0" borderId="10" xfId="51" applyFont="1" applyBorder="1" applyAlignment="1">
      <alignment shrinkToFit="1"/>
    </xf>
    <xf numFmtId="3" fontId="47" fillId="0" borderId="10" xfId="0" applyNumberFormat="1" applyFont="1" applyBorder="1" applyAlignment="1">
      <alignment horizontal="right" wrapText="1"/>
    </xf>
    <xf numFmtId="3" fontId="48" fillId="0" borderId="10" xfId="0" applyNumberFormat="1" applyFont="1" applyBorder="1" applyAlignment="1">
      <alignment horizontal="right" wrapText="1"/>
    </xf>
    <xf numFmtId="3" fontId="47" fillId="0" borderId="10" xfId="0" applyNumberFormat="1" applyFont="1" applyBorder="1" applyAlignment="1">
      <alignment wrapText="1"/>
    </xf>
    <xf numFmtId="3" fontId="47" fillId="26" borderId="10" xfId="0" applyNumberFormat="1" applyFont="1" applyFill="1" applyBorder="1" applyAlignment="1">
      <alignment horizontal="right" vertical="center" wrapText="1"/>
    </xf>
    <xf numFmtId="0" fontId="47" fillId="0" borderId="0" xfId="43" applyFont="1" applyAlignment="1">
      <alignment wrapText="1"/>
    </xf>
    <xf numFmtId="0" fontId="1" fillId="0" borderId="0" xfId="43" applyFont="1"/>
    <xf numFmtId="0" fontId="55" fillId="0" borderId="0" xfId="43" applyFont="1"/>
    <xf numFmtId="0" fontId="47" fillId="0" borderId="0" xfId="43" applyFont="1" applyAlignment="1">
      <alignment horizontal="center" wrapText="1"/>
    </xf>
    <xf numFmtId="3" fontId="50" fillId="0" borderId="10" xfId="0" applyNumberFormat="1" applyFont="1" applyBorder="1" applyAlignment="1" applyProtection="1">
      <alignment horizontal="right" wrapText="1"/>
      <protection locked="0"/>
    </xf>
    <xf numFmtId="3" fontId="47" fillId="0" borderId="10" xfId="0" applyNumberFormat="1" applyFont="1" applyBorder="1" applyAlignment="1" applyProtection="1">
      <alignment horizontal="right" wrapText="1"/>
      <protection locked="0"/>
    </xf>
    <xf numFmtId="3" fontId="50" fillId="0" borderId="10" xfId="0" applyNumberFormat="1" applyFont="1" applyBorder="1" applyAlignment="1">
      <alignment horizontal="right" wrapText="1"/>
    </xf>
    <xf numFmtId="165" fontId="48" fillId="0" borderId="10" xfId="32" applyNumberFormat="1" applyFont="1" applyBorder="1" applyAlignment="1" applyProtection="1">
      <alignment horizontal="right" wrapText="1"/>
      <protection locked="0"/>
    </xf>
    <xf numFmtId="3" fontId="47" fillId="0" borderId="10" xfId="43" applyNumberFormat="1" applyFont="1" applyBorder="1" applyAlignment="1">
      <alignment horizontal="right" wrapText="1"/>
    </xf>
    <xf numFmtId="3" fontId="48" fillId="0" borderId="10" xfId="43" applyNumberFormat="1" applyFont="1" applyBorder="1" applyAlignment="1">
      <alignment horizontal="right" wrapText="1"/>
    </xf>
    <xf numFmtId="0" fontId="47" fillId="0" borderId="10" xfId="0" applyFont="1" applyBorder="1" applyAlignment="1">
      <alignment horizontal="right" wrapText="1"/>
    </xf>
    <xf numFmtId="3" fontId="47" fillId="0" borderId="10" xfId="43" applyNumberFormat="1" applyFont="1" applyBorder="1" applyAlignment="1">
      <alignment wrapText="1"/>
    </xf>
    <xf numFmtId="0" fontId="46" fillId="0" borderId="10" xfId="43" applyFont="1" applyBorder="1" applyAlignment="1">
      <alignment wrapText="1"/>
    </xf>
    <xf numFmtId="3" fontId="47" fillId="26" borderId="10" xfId="43" applyNumberFormat="1" applyFont="1" applyFill="1" applyBorder="1" applyAlignment="1">
      <alignment horizontal="right" vertical="center" wrapText="1"/>
    </xf>
    <xf numFmtId="3" fontId="47" fillId="0" borderId="10" xfId="43" applyNumberFormat="1" applyFont="1" applyBorder="1" applyAlignment="1" applyProtection="1">
      <alignment horizontal="right" wrapText="1"/>
      <protection locked="0"/>
    </xf>
    <xf numFmtId="3" fontId="50" fillId="0" borderId="10" xfId="43" applyNumberFormat="1" applyFont="1" applyBorder="1" applyAlignment="1">
      <alignment horizontal="right" wrapText="1"/>
    </xf>
    <xf numFmtId="3" fontId="50" fillId="0" borderId="10" xfId="43" applyNumberFormat="1" applyFont="1" applyBorder="1" applyAlignment="1" applyProtection="1">
      <alignment horizontal="right" wrapText="1"/>
      <protection locked="0"/>
    </xf>
    <xf numFmtId="165" fontId="48" fillId="25" borderId="10" xfId="60" applyNumberFormat="1" applyFont="1" applyFill="1" applyBorder="1" applyAlignment="1">
      <alignment horizontal="center" vertical="center" wrapText="1"/>
    </xf>
    <xf numFmtId="165" fontId="50" fillId="26" borderId="10" xfId="60" applyNumberFormat="1" applyFont="1" applyFill="1" applyBorder="1" applyAlignment="1">
      <alignment horizontal="center" vertical="center" wrapText="1"/>
    </xf>
    <xf numFmtId="0" fontId="57" fillId="0" borderId="0" xfId="43" applyFont="1" applyAlignment="1">
      <alignment horizontal="center" wrapText="1"/>
    </xf>
    <xf numFmtId="165" fontId="48" fillId="0" borderId="10" xfId="29" applyNumberFormat="1" applyFont="1" applyBorder="1" applyAlignment="1" applyProtection="1">
      <alignment horizontal="right" wrapText="1"/>
      <protection locked="0"/>
    </xf>
    <xf numFmtId="0" fontId="50" fillId="29" borderId="10" xfId="52" applyFont="1" applyFill="1" applyBorder="1" applyAlignment="1">
      <alignment vertical="distributed"/>
    </xf>
    <xf numFmtId="165" fontId="50" fillId="29" borderId="10" xfId="60" applyNumberFormat="1" applyFont="1" applyFill="1" applyBorder="1" applyAlignment="1">
      <alignment horizontal="center" vertical="center" wrapText="1"/>
    </xf>
    <xf numFmtId="49" fontId="50" fillId="29" borderId="10" xfId="52" applyNumberFormat="1" applyFont="1" applyFill="1" applyBorder="1" applyAlignment="1">
      <alignment vertical="distributed"/>
    </xf>
    <xf numFmtId="0" fontId="53" fillId="0" borderId="0" xfId="0" applyFont="1"/>
    <xf numFmtId="0" fontId="48" fillId="30" borderId="10" xfId="54" applyFont="1" applyFill="1" applyBorder="1" applyAlignment="1">
      <alignment horizontal="center" vertical="center" wrapText="1"/>
    </xf>
    <xf numFmtId="0" fontId="50" fillId="29" borderId="10" xfId="54" applyFont="1" applyFill="1" applyBorder="1" applyAlignment="1">
      <alignment horizontal="center" vertical="center" wrapText="1"/>
    </xf>
    <xf numFmtId="0" fontId="58" fillId="0" borderId="0" xfId="0" applyFont="1"/>
    <xf numFmtId="165" fontId="47" fillId="26" borderId="10" xfId="29" applyNumberFormat="1" applyFont="1" applyFill="1" applyBorder="1" applyAlignment="1">
      <alignment vertical="distributed"/>
    </xf>
    <xf numFmtId="0" fontId="10" fillId="0" borderId="0" xfId="57" applyFont="1" applyAlignment="1">
      <alignment vertical="center" wrapText="1"/>
    </xf>
    <xf numFmtId="0" fontId="53" fillId="0" borderId="0" xfId="0" applyFont="1" applyBorder="1" applyAlignment="1">
      <alignment wrapText="1"/>
    </xf>
    <xf numFmtId="166" fontId="10" fillId="0" borderId="0" xfId="57" applyNumberFormat="1" applyFont="1" applyAlignment="1">
      <alignment vertical="center" wrapText="1"/>
    </xf>
    <xf numFmtId="166" fontId="10" fillId="0" borderId="0" xfId="57" applyNumberFormat="1" applyFont="1" applyAlignment="1">
      <alignment horizontal="center" vertical="center" wrapText="1"/>
    </xf>
    <xf numFmtId="0" fontId="60" fillId="0" borderId="0" xfId="60" applyFont="1"/>
    <xf numFmtId="0" fontId="2" fillId="0" borderId="0" xfId="60" applyFont="1"/>
    <xf numFmtId="0" fontId="47" fillId="26" borderId="10" xfId="50" applyFont="1" applyFill="1" applyBorder="1" applyAlignment="1">
      <alignment horizontal="center" vertical="center" wrapText="1"/>
    </xf>
    <xf numFmtId="0" fontId="47" fillId="26" borderId="10" xfId="50" applyFont="1" applyFill="1" applyBorder="1" applyAlignment="1">
      <alignment horizontal="center" vertical="center"/>
    </xf>
    <xf numFmtId="0" fontId="1" fillId="0" borderId="0" xfId="50" applyFont="1"/>
    <xf numFmtId="0" fontId="48" fillId="0" borderId="10" xfId="50" applyFont="1" applyBorder="1"/>
    <xf numFmtId="0" fontId="47" fillId="0" borderId="10" xfId="50" applyFont="1" applyBorder="1" applyAlignment="1">
      <alignment horizontal="left" shrinkToFit="1"/>
    </xf>
    <xf numFmtId="165" fontId="47" fillId="0" borderId="10" xfId="69" applyNumberFormat="1" applyFont="1" applyBorder="1"/>
    <xf numFmtId="0" fontId="48" fillId="0" borderId="10" xfId="50" applyFont="1" applyBorder="1" applyAlignment="1">
      <alignment horizontal="center"/>
    </xf>
    <xf numFmtId="0" fontId="48" fillId="0" borderId="10" xfId="50" applyFont="1" applyBorder="1" applyAlignment="1">
      <alignment horizontal="left" vertical="distributed" shrinkToFit="1"/>
    </xf>
    <xf numFmtId="165" fontId="48" fillId="0" borderId="10" xfId="69" applyNumberFormat="1" applyFont="1" applyBorder="1" applyProtection="1">
      <protection locked="0"/>
    </xf>
    <xf numFmtId="3" fontId="47" fillId="0" borderId="10" xfId="50" applyNumberFormat="1" applyFont="1" applyBorder="1"/>
    <xf numFmtId="0" fontId="48" fillId="0" borderId="17" xfId="50" applyFont="1" applyBorder="1" applyAlignment="1">
      <alignment horizontal="left" shrinkToFit="1"/>
    </xf>
    <xf numFmtId="3" fontId="47" fillId="26" borderId="10" xfId="50" applyNumberFormat="1" applyFont="1" applyFill="1" applyBorder="1"/>
    <xf numFmtId="0" fontId="61" fillId="0" borderId="0" xfId="50" applyFont="1"/>
    <xf numFmtId="0" fontId="48" fillId="0" borderId="10" xfId="50" applyFont="1" applyBorder="1" applyAlignment="1">
      <alignment horizontal="left" shrinkToFit="1"/>
    </xf>
    <xf numFmtId="165" fontId="48" fillId="0" borderId="10" xfId="69" applyNumberFormat="1" applyFont="1" applyBorder="1" applyAlignment="1" applyProtection="1">
      <alignment horizontal="center"/>
      <protection locked="0"/>
    </xf>
    <xf numFmtId="0" fontId="48" fillId="0" borderId="17" xfId="50" applyFont="1" applyBorder="1" applyAlignment="1">
      <alignment horizontal="left" vertical="distributed" shrinkToFit="1"/>
    </xf>
    <xf numFmtId="0" fontId="47" fillId="27" borderId="10" xfId="50" applyFont="1" applyFill="1" applyBorder="1"/>
    <xf numFmtId="0" fontId="47" fillId="26" borderId="10" xfId="55" applyFont="1" applyFill="1" applyBorder="1" applyAlignment="1">
      <alignment horizontal="center" vertical="center" wrapText="1"/>
    </xf>
    <xf numFmtId="0" fontId="10" fillId="0" borderId="0" xfId="51" applyFont="1"/>
    <xf numFmtId="49" fontId="10" fillId="0" borderId="10" xfId="51" applyNumberFormat="1" applyFont="1" applyBorder="1" applyAlignment="1">
      <alignment horizontal="right" shrinkToFit="1"/>
    </xf>
    <xf numFmtId="0" fontId="63" fillId="0" borderId="0" xfId="58" applyFont="1" applyAlignment="1" applyProtection="1">
      <alignment horizontal="center" vertical="center" wrapText="1"/>
      <protection locked="0"/>
    </xf>
    <xf numFmtId="0" fontId="50" fillId="0" borderId="0" xfId="58" applyFont="1" applyAlignment="1" applyProtection="1">
      <alignment horizontal="center" vertical="center"/>
      <protection locked="0"/>
    </xf>
    <xf numFmtId="0" fontId="47" fillId="0" borderId="10" xfId="48" applyFont="1" applyBorder="1" applyAlignment="1">
      <alignment wrapText="1"/>
    </xf>
    <xf numFmtId="3" fontId="47" fillId="0" borderId="10" xfId="32" applyNumberFormat="1" applyFont="1" applyBorder="1" applyAlignment="1">
      <alignment horizontal="right" wrapText="1"/>
    </xf>
    <xf numFmtId="0" fontId="48" fillId="0" borderId="10" xfId="58" applyFont="1" applyBorder="1" applyProtection="1">
      <protection locked="0"/>
    </xf>
    <xf numFmtId="3" fontId="48" fillId="0" borderId="10" xfId="32" applyNumberFormat="1" applyFont="1" applyBorder="1" applyProtection="1">
      <protection locked="0"/>
    </xf>
    <xf numFmtId="3" fontId="47" fillId="0" borderId="10" xfId="32" applyNumberFormat="1" applyFont="1" applyBorder="1" applyAlignment="1">
      <alignment wrapText="1"/>
    </xf>
    <xf numFmtId="0" fontId="48" fillId="0" borderId="10" xfId="48" applyFont="1" applyBorder="1" applyAlignment="1">
      <alignment wrapText="1"/>
    </xf>
    <xf numFmtId="3" fontId="48" fillId="0" borderId="10" xfId="32" applyNumberFormat="1" applyFont="1" applyBorder="1" applyAlignment="1" applyProtection="1">
      <alignment wrapText="1"/>
      <protection locked="0"/>
    </xf>
    <xf numFmtId="3" fontId="47" fillId="0" borderId="10" xfId="32" applyNumberFormat="1" applyFont="1" applyBorder="1"/>
    <xf numFmtId="3" fontId="47" fillId="26" borderId="10" xfId="32" applyNumberFormat="1" applyFont="1" applyFill="1" applyBorder="1" applyAlignment="1">
      <alignment vertical="center" wrapText="1"/>
    </xf>
    <xf numFmtId="3" fontId="47" fillId="26" borderId="10" xfId="32" applyNumberFormat="1" applyFont="1" applyFill="1" applyBorder="1" applyAlignment="1">
      <alignment vertical="center"/>
    </xf>
    <xf numFmtId="0" fontId="47" fillId="0" borderId="0" xfId="48" applyFont="1" applyAlignment="1">
      <alignment wrapText="1"/>
    </xf>
    <xf numFmtId="3" fontId="47" fillId="0" borderId="0" xfId="48" applyNumberFormat="1" applyFont="1" applyAlignment="1">
      <alignment wrapText="1"/>
    </xf>
    <xf numFmtId="3" fontId="48" fillId="0" borderId="0" xfId="58" applyNumberFormat="1" applyFont="1"/>
    <xf numFmtId="3" fontId="48" fillId="0" borderId="13" xfId="58" applyNumberFormat="1" applyFont="1" applyBorder="1"/>
    <xf numFmtId="0" fontId="48" fillId="0" borderId="0" xfId="58" applyFont="1" applyBorder="1"/>
    <xf numFmtId="0" fontId="47" fillId="0" borderId="0" xfId="58" applyFont="1" applyBorder="1"/>
    <xf numFmtId="3" fontId="47" fillId="0" borderId="0" xfId="58" applyNumberFormat="1" applyFont="1" applyBorder="1"/>
    <xf numFmtId="3" fontId="48" fillId="0" borderId="0" xfId="58" applyNumberFormat="1" applyFont="1" applyBorder="1"/>
    <xf numFmtId="3" fontId="47" fillId="0" borderId="10" xfId="48" applyNumberFormat="1" applyFont="1" applyBorder="1" applyAlignment="1">
      <alignment wrapText="1"/>
    </xf>
    <xf numFmtId="3" fontId="47" fillId="0" borderId="10" xfId="48" applyNumberFormat="1" applyFont="1" applyBorder="1" applyAlignment="1">
      <alignment horizontal="right" wrapText="1"/>
    </xf>
    <xf numFmtId="3" fontId="48" fillId="0" borderId="10" xfId="58" applyNumberFormat="1" applyFont="1" applyBorder="1" applyProtection="1">
      <protection locked="0"/>
    </xf>
    <xf numFmtId="3" fontId="47" fillId="0" borderId="10" xfId="58" applyNumberFormat="1" applyFont="1" applyBorder="1" applyProtection="1">
      <protection locked="0"/>
    </xf>
    <xf numFmtId="3" fontId="47" fillId="0" borderId="10" xfId="58" applyNumberFormat="1" applyFont="1" applyBorder="1"/>
    <xf numFmtId="3" fontId="48" fillId="0" borderId="10" xfId="48" applyNumberFormat="1" applyFont="1" applyBorder="1" applyAlignment="1" applyProtection="1">
      <alignment wrapText="1"/>
      <protection locked="0"/>
    </xf>
    <xf numFmtId="3" fontId="47" fillId="26" borderId="10" xfId="48" applyNumberFormat="1" applyFont="1" applyFill="1" applyBorder="1" applyAlignment="1">
      <alignment vertical="center" wrapText="1"/>
    </xf>
    <xf numFmtId="3" fontId="47" fillId="0" borderId="0" xfId="58" applyNumberFormat="1" applyFont="1"/>
    <xf numFmtId="0" fontId="48" fillId="0" borderId="0" xfId="48" applyFont="1"/>
    <xf numFmtId="0" fontId="48" fillId="0" borderId="0" xfId="58" applyFont="1"/>
    <xf numFmtId="0" fontId="47" fillId="0" borderId="0" xfId="58" applyFont="1"/>
    <xf numFmtId="3" fontId="47" fillId="0" borderId="10" xfId="48" applyNumberFormat="1" applyFont="1" applyBorder="1" applyAlignment="1" applyProtection="1">
      <alignment horizontal="right" vertical="center" wrapText="1" indent="1"/>
      <protection locked="0"/>
    </xf>
    <xf numFmtId="0" fontId="18" fillId="0" borderId="0" xfId="58" applyFont="1"/>
    <xf numFmtId="0" fontId="1" fillId="0" borderId="0" xfId="48" applyFont="1"/>
    <xf numFmtId="3" fontId="47" fillId="0" borderId="10" xfId="32" applyNumberFormat="1" applyFont="1" applyBorder="1" applyProtection="1">
      <protection locked="0"/>
    </xf>
    <xf numFmtId="3" fontId="48" fillId="0" borderId="10" xfId="48" applyNumberFormat="1" applyFont="1" applyBorder="1" applyAlignment="1">
      <alignment wrapText="1"/>
    </xf>
    <xf numFmtId="0" fontId="2" fillId="0" borderId="0" xfId="48" applyFont="1"/>
    <xf numFmtId="0" fontId="47" fillId="25" borderId="10" xfId="48" applyFont="1" applyFill="1" applyBorder="1" applyAlignment="1">
      <alignment horizontal="center" vertical="center" wrapText="1"/>
    </xf>
    <xf numFmtId="3" fontId="47" fillId="0" borderId="10" xfId="48" applyNumberFormat="1" applyFont="1" applyBorder="1" applyAlignment="1" applyProtection="1">
      <alignment wrapText="1"/>
      <protection locked="0"/>
    </xf>
    <xf numFmtId="0" fontId="1" fillId="25" borderId="0" xfId="48" applyFont="1" applyFill="1"/>
    <xf numFmtId="0" fontId="50" fillId="0" borderId="10" xfId="43" applyFont="1" applyBorder="1" applyAlignment="1">
      <alignment wrapText="1"/>
    </xf>
    <xf numFmtId="0" fontId="46" fillId="0" borderId="0" xfId="43" applyFont="1" applyAlignment="1">
      <alignment wrapText="1"/>
    </xf>
    <xf numFmtId="0" fontId="2" fillId="0" borderId="0" xfId="43" applyFont="1" applyAlignment="1">
      <alignment wrapText="1"/>
    </xf>
    <xf numFmtId="165" fontId="47" fillId="0" borderId="10" xfId="29" applyNumberFormat="1" applyFont="1" applyBorder="1" applyAlignment="1">
      <alignment horizontal="right" wrapText="1"/>
    </xf>
    <xf numFmtId="0" fontId="18" fillId="0" borderId="0" xfId="60" applyFont="1"/>
    <xf numFmtId="0" fontId="47" fillId="26" borderId="24" xfId="60" applyFont="1" applyFill="1" applyBorder="1" applyAlignment="1" applyProtection="1">
      <alignment horizontal="center" vertical="center" wrapText="1"/>
    </xf>
    <xf numFmtId="0" fontId="47" fillId="28" borderId="24" xfId="60" applyFont="1" applyFill="1" applyBorder="1" applyAlignment="1" applyProtection="1">
      <alignment horizontal="left" vertical="center" shrinkToFit="1"/>
    </xf>
    <xf numFmtId="3" fontId="48" fillId="0" borderId="25" xfId="60" applyNumberFormat="1" applyFont="1" applyFill="1" applyBorder="1" applyAlignment="1" applyProtection="1">
      <alignment vertical="center" shrinkToFit="1"/>
      <protection locked="0"/>
    </xf>
    <xf numFmtId="0" fontId="47" fillId="0" borderId="24" xfId="60" applyFont="1" applyFill="1" applyBorder="1" applyAlignment="1" applyProtection="1">
      <alignment horizontal="left" vertical="center" shrinkToFit="1"/>
    </xf>
    <xf numFmtId="3" fontId="48" fillId="0" borderId="13" xfId="53" applyNumberFormat="1" applyFont="1" applyFill="1" applyBorder="1" applyAlignment="1" applyProtection="1">
      <alignment horizontal="right" shrinkToFit="1"/>
      <protection locked="0"/>
    </xf>
    <xf numFmtId="0" fontId="18" fillId="24" borderId="0" xfId="60" applyFont="1" applyFill="1"/>
    <xf numFmtId="0" fontId="1" fillId="0" borderId="0" xfId="49" applyFont="1"/>
    <xf numFmtId="0" fontId="47" fillId="0" borderId="10" xfId="60" applyFont="1" applyFill="1" applyBorder="1" applyAlignment="1" applyProtection="1">
      <alignment horizontal="left" vertical="center" shrinkToFit="1"/>
    </xf>
    <xf numFmtId="0" fontId="44" fillId="0" borderId="0" xfId="60" applyFont="1" applyAlignment="1" applyProtection="1">
      <alignment horizontal="center"/>
    </xf>
    <xf numFmtId="0" fontId="47" fillId="26" borderId="10" xfId="43" applyFont="1" applyFill="1" applyBorder="1" applyAlignment="1">
      <alignment horizontal="center" vertical="center" wrapText="1"/>
    </xf>
    <xf numFmtId="0" fontId="57" fillId="0" borderId="0" xfId="43" applyFont="1" applyAlignment="1">
      <alignment horizontal="right" wrapText="1"/>
    </xf>
    <xf numFmtId="0" fontId="48" fillId="0" borderId="0" xfId="43" applyFont="1" applyAlignment="1">
      <alignment horizontal="left" wrapText="1"/>
    </xf>
    <xf numFmtId="0" fontId="56" fillId="0" borderId="0" xfId="43" applyFont="1" applyAlignment="1">
      <alignment horizontal="right" wrapText="1"/>
    </xf>
    <xf numFmtId="0" fontId="48" fillId="0" borderId="0" xfId="43" applyFont="1" applyAlignment="1">
      <alignment horizontal="right" wrapText="1"/>
    </xf>
    <xf numFmtId="0" fontId="47" fillId="26" borderId="10" xfId="48" applyFont="1" applyFill="1" applyBorder="1" applyAlignment="1">
      <alignment horizontal="center" vertical="center" wrapText="1"/>
    </xf>
    <xf numFmtId="166" fontId="47" fillId="26" borderId="10" xfId="57" applyNumberFormat="1" applyFont="1" applyFill="1" applyBorder="1" applyAlignment="1">
      <alignment horizontal="center" vertical="center" wrapText="1"/>
    </xf>
    <xf numFmtId="0" fontId="48" fillId="0" borderId="14" xfId="43" applyFont="1" applyBorder="1" applyAlignment="1">
      <alignment horizontal="left" wrapText="1"/>
    </xf>
    <xf numFmtId="0" fontId="47" fillId="0" borderId="0" xfId="57" applyFont="1" applyAlignment="1">
      <alignment horizontal="right" wrapText="1"/>
    </xf>
    <xf numFmtId="166" fontId="48" fillId="0" borderId="0" xfId="57" applyNumberFormat="1" applyFont="1" applyAlignment="1">
      <alignment horizontal="right" vertical="center" wrapText="1"/>
    </xf>
    <xf numFmtId="0" fontId="47" fillId="26" borderId="10" xfId="56" applyFont="1" applyFill="1" applyBorder="1" applyAlignment="1">
      <alignment horizontal="center" vertical="center" wrapText="1"/>
    </xf>
    <xf numFmtId="0" fontId="47" fillId="26" borderId="10" xfId="56" applyFont="1" applyFill="1" applyBorder="1" applyAlignment="1">
      <alignment wrapText="1"/>
    </xf>
    <xf numFmtId="0" fontId="48" fillId="0" borderId="0" xfId="43" applyFont="1" applyAlignment="1">
      <alignment horizontal="right" wrapText="1"/>
    </xf>
    <xf numFmtId="0" fontId="47" fillId="26" borderId="10" xfId="43" applyFont="1" applyFill="1" applyBorder="1" applyAlignment="1">
      <alignment horizontal="center" vertical="center" wrapText="1"/>
    </xf>
    <xf numFmtId="0" fontId="3" fillId="0" borderId="0" xfId="55" applyFont="1"/>
    <xf numFmtId="0" fontId="56" fillId="0" borderId="0" xfId="55" applyFont="1"/>
    <xf numFmtId="0" fontId="56" fillId="0" borderId="0" xfId="55" applyFont="1" applyAlignment="1">
      <alignment horizontal="right"/>
    </xf>
    <xf numFmtId="0" fontId="57" fillId="26" borderId="10" xfId="55" applyFont="1" applyFill="1" applyBorder="1" applyAlignment="1">
      <alignment horizontal="center" vertical="center" wrapText="1"/>
    </xf>
    <xf numFmtId="0" fontId="57" fillId="0" borderId="10" xfId="55" applyFont="1" applyBorder="1" applyAlignment="1">
      <alignment horizontal="center"/>
    </xf>
    <xf numFmtId="0" fontId="57" fillId="0" borderId="10" xfId="55" applyFont="1" applyBorder="1" applyAlignment="1">
      <alignment horizontal="left"/>
    </xf>
    <xf numFmtId="0" fontId="56" fillId="0" borderId="10" xfId="55" applyFont="1" applyBorder="1" applyAlignment="1">
      <alignment horizontal="right"/>
    </xf>
    <xf numFmtId="3" fontId="57" fillId="0" borderId="10" xfId="55" applyNumberFormat="1" applyFont="1" applyBorder="1" applyAlignment="1">
      <alignment horizontal="right"/>
    </xf>
    <xf numFmtId="0" fontId="56" fillId="0" borderId="10" xfId="55" applyFont="1" applyBorder="1" applyAlignment="1">
      <alignment horizontal="center"/>
    </xf>
    <xf numFmtId="0" fontId="57" fillId="0" borderId="10" xfId="55" applyFont="1" applyBorder="1" applyAlignment="1">
      <alignment horizontal="right"/>
    </xf>
    <xf numFmtId="0" fontId="57" fillId="26" borderId="10" xfId="55" applyFont="1" applyFill="1" applyBorder="1" applyAlignment="1">
      <alignment horizontal="right" vertical="center"/>
    </xf>
    <xf numFmtId="3" fontId="57" fillId="26" borderId="10" xfId="55" applyNumberFormat="1" applyFont="1" applyFill="1" applyBorder="1" applyAlignment="1">
      <alignment horizontal="right" vertical="center"/>
    </xf>
    <xf numFmtId="0" fontId="56" fillId="27" borderId="10" xfId="55" applyFont="1" applyFill="1" applyBorder="1" applyAlignment="1">
      <alignment horizontal="center" vertical="center"/>
    </xf>
    <xf numFmtId="0" fontId="59" fillId="0" borderId="0" xfId="55" applyFont="1"/>
    <xf numFmtId="0" fontId="66" fillId="0" borderId="17" xfId="55" applyFont="1" applyBorder="1" applyAlignment="1">
      <alignment horizontal="center"/>
    </xf>
    <xf numFmtId="0" fontId="66" fillId="0" borderId="19" xfId="55" applyFont="1" applyBorder="1" applyAlignment="1">
      <alignment horizontal="left"/>
    </xf>
    <xf numFmtId="0" fontId="66" fillId="0" borderId="10" xfId="55" applyFont="1" applyBorder="1" applyAlignment="1">
      <alignment horizontal="right"/>
    </xf>
    <xf numFmtId="3" fontId="66" fillId="0" borderId="10" xfId="55" applyNumberFormat="1" applyFont="1" applyBorder="1" applyAlignment="1">
      <alignment horizontal="right"/>
    </xf>
    <xf numFmtId="0" fontId="66" fillId="0" borderId="10" xfId="55" applyFont="1" applyBorder="1" applyAlignment="1">
      <alignment horizontal="center"/>
    </xf>
    <xf numFmtId="0" fontId="61" fillId="0" borderId="0" xfId="55" applyFont="1"/>
    <xf numFmtId="0" fontId="47" fillId="0" borderId="12" xfId="60" applyFont="1" applyFill="1" applyBorder="1" applyAlignment="1" applyProtection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47" fillId="0" borderId="11" xfId="60" applyFont="1" applyFill="1" applyBorder="1" applyAlignment="1" applyProtection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3" xfId="0" applyFont="1" applyFill="1" applyBorder="1" applyAlignment="1">
      <alignment horizontal="center" vertical="center" shrinkToFit="1"/>
    </xf>
    <xf numFmtId="0" fontId="47" fillId="26" borderId="20" xfId="60" applyFont="1" applyFill="1" applyBorder="1" applyAlignment="1" applyProtection="1">
      <alignment horizontal="left" vertical="center" shrinkToFit="1"/>
    </xf>
    <xf numFmtId="0" fontId="53" fillId="0" borderId="19" xfId="0" applyFont="1" applyBorder="1" applyAlignment="1">
      <alignment horizontal="left" vertical="center" shrinkToFit="1"/>
    </xf>
    <xf numFmtId="0" fontId="47" fillId="0" borderId="22" xfId="60" applyFont="1" applyFill="1" applyBorder="1" applyAlignment="1" applyProtection="1">
      <alignment horizontal="center" vertical="center" shrinkToFit="1"/>
    </xf>
    <xf numFmtId="0" fontId="53" fillId="0" borderId="16" xfId="0" applyFont="1" applyFill="1" applyBorder="1" applyAlignment="1">
      <alignment horizontal="center" vertical="center" shrinkToFit="1"/>
    </xf>
    <xf numFmtId="0" fontId="47" fillId="0" borderId="10" xfId="60" applyFont="1" applyFill="1" applyBorder="1" applyAlignment="1" applyProtection="1">
      <alignment horizontal="left" vertical="center" shrinkToFit="1"/>
    </xf>
    <xf numFmtId="0" fontId="47" fillId="0" borderId="19" xfId="60" applyFont="1" applyFill="1" applyBorder="1" applyAlignment="1" applyProtection="1">
      <alignment horizontal="left" shrinkToFit="1"/>
    </xf>
    <xf numFmtId="0" fontId="47" fillId="0" borderId="10" xfId="60" applyFont="1" applyFill="1" applyBorder="1" applyAlignment="1" applyProtection="1">
      <alignment horizontal="left" shrinkToFit="1"/>
    </xf>
    <xf numFmtId="0" fontId="47" fillId="0" borderId="19" xfId="60" applyFont="1" applyFill="1" applyBorder="1" applyAlignment="1" applyProtection="1">
      <alignment horizontal="left" vertical="center" shrinkToFit="1"/>
    </xf>
    <xf numFmtId="0" fontId="47" fillId="28" borderId="10" xfId="60" applyFont="1" applyFill="1" applyBorder="1" applyAlignment="1" applyProtection="1">
      <alignment horizontal="left" vertical="center" shrinkToFit="1"/>
    </xf>
    <xf numFmtId="0" fontId="48" fillId="28" borderId="10" xfId="60" applyFont="1" applyFill="1" applyBorder="1" applyAlignment="1" applyProtection="1">
      <alignment horizontal="left" vertical="center" shrinkToFit="1"/>
    </xf>
    <xf numFmtId="0" fontId="47" fillId="28" borderId="19" xfId="60" applyFont="1" applyFill="1" applyBorder="1" applyAlignment="1" applyProtection="1">
      <alignment horizontal="left" vertical="center" shrinkToFit="1"/>
    </xf>
    <xf numFmtId="0" fontId="47" fillId="26" borderId="17" xfId="60" applyFont="1" applyFill="1" applyBorder="1" applyAlignment="1" applyProtection="1">
      <alignment horizontal="left" vertical="center" shrinkToFit="1"/>
    </xf>
    <xf numFmtId="0" fontId="51" fillId="0" borderId="17" xfId="60" applyFont="1" applyFill="1" applyBorder="1" applyAlignment="1" applyProtection="1">
      <alignment horizontal="left" vertical="center" shrinkToFit="1"/>
    </xf>
    <xf numFmtId="0" fontId="51" fillId="0" borderId="19" xfId="0" applyFont="1" applyBorder="1" applyAlignment="1">
      <alignment horizontal="left" shrinkToFit="1"/>
    </xf>
    <xf numFmtId="0" fontId="51" fillId="0" borderId="20" xfId="60" applyFont="1" applyFill="1" applyBorder="1" applyAlignment="1" applyProtection="1">
      <alignment horizontal="left" shrinkToFit="1"/>
    </xf>
    <xf numFmtId="0" fontId="44" fillId="0" borderId="0" xfId="60" applyFont="1" applyAlignment="1" applyProtection="1">
      <alignment horizontal="center"/>
    </xf>
    <xf numFmtId="0" fontId="48" fillId="0" borderId="0" xfId="60" applyFont="1" applyBorder="1" applyAlignment="1" applyProtection="1">
      <alignment horizontal="right"/>
    </xf>
    <xf numFmtId="0" fontId="47" fillId="28" borderId="18" xfId="60" applyFont="1" applyFill="1" applyBorder="1" applyAlignment="1" applyProtection="1">
      <alignment horizontal="left" vertical="center" shrinkToFit="1"/>
    </xf>
    <xf numFmtId="0" fontId="53" fillId="0" borderId="0" xfId="0" applyFont="1" applyAlignment="1" applyProtection="1">
      <alignment horizontal="center"/>
    </xf>
    <xf numFmtId="0" fontId="47" fillId="26" borderId="10" xfId="60" applyFont="1" applyFill="1" applyBorder="1" applyAlignment="1" applyProtection="1">
      <alignment horizontal="center" vertical="center" shrinkToFit="1"/>
    </xf>
    <xf numFmtId="0" fontId="47" fillId="26" borderId="20" xfId="60" applyFont="1" applyFill="1" applyBorder="1" applyAlignment="1" applyProtection="1">
      <alignment horizontal="center" vertical="center" shrinkToFit="1"/>
    </xf>
    <xf numFmtId="0" fontId="53" fillId="26" borderId="19" xfId="0" applyFont="1" applyFill="1" applyBorder="1" applyAlignment="1" applyProtection="1">
      <alignment horizontal="center" vertical="center" shrinkToFit="1"/>
    </xf>
    <xf numFmtId="0" fontId="47" fillId="26" borderId="10" xfId="60" applyFont="1" applyFill="1" applyBorder="1" applyAlignment="1" applyProtection="1">
      <alignment horizontal="left" vertical="center" shrinkToFit="1"/>
    </xf>
    <xf numFmtId="0" fontId="47" fillId="26" borderId="19" xfId="60" applyFont="1" applyFill="1" applyBorder="1" applyAlignment="1" applyProtection="1">
      <alignment horizontal="left" vertical="center" shrinkToFit="1"/>
    </xf>
    <xf numFmtId="0" fontId="47" fillId="0" borderId="18" xfId="60" applyFont="1" applyFill="1" applyBorder="1" applyAlignment="1" applyProtection="1">
      <alignment horizontal="left" vertical="center" shrinkToFit="1"/>
    </xf>
    <xf numFmtId="0" fontId="47" fillId="0" borderId="16" xfId="60" applyFont="1" applyFill="1" applyBorder="1" applyAlignment="1" applyProtection="1">
      <alignment horizontal="center" vertical="center" shrinkToFit="1"/>
    </xf>
    <xf numFmtId="0" fontId="47" fillId="26" borderId="10" xfId="43" applyFont="1" applyFill="1" applyBorder="1" applyAlignment="1">
      <alignment horizontal="center" vertical="center" wrapText="1"/>
    </xf>
    <xf numFmtId="0" fontId="44" fillId="0" borderId="0" xfId="43" applyFont="1" applyAlignment="1">
      <alignment horizontal="center" wrapText="1"/>
    </xf>
    <xf numFmtId="0" fontId="57" fillId="0" borderId="0" xfId="43" applyFont="1" applyAlignment="1">
      <alignment horizontal="right" wrapText="1"/>
    </xf>
    <xf numFmtId="0" fontId="48" fillId="0" borderId="0" xfId="43" applyFont="1" applyAlignment="1">
      <alignment horizontal="left" wrapText="1"/>
    </xf>
    <xf numFmtId="0" fontId="56" fillId="0" borderId="0" xfId="43" applyFont="1" applyAlignment="1">
      <alignment horizontal="right" wrapText="1"/>
    </xf>
    <xf numFmtId="0" fontId="48" fillId="0" borderId="0" xfId="43" applyFont="1" applyAlignment="1">
      <alignment horizontal="right" wrapText="1"/>
    </xf>
    <xf numFmtId="0" fontId="47" fillId="26" borderId="17" xfId="43" applyFont="1" applyFill="1" applyBorder="1" applyAlignment="1">
      <alignment vertical="center" wrapText="1"/>
    </xf>
    <xf numFmtId="0" fontId="47" fillId="26" borderId="19" xfId="43" applyFont="1" applyFill="1" applyBorder="1" applyAlignment="1">
      <alignment vertical="center" wrapText="1"/>
    </xf>
    <xf numFmtId="0" fontId="47" fillId="26" borderId="12" xfId="43" applyFont="1" applyFill="1" applyBorder="1" applyAlignment="1">
      <alignment horizontal="center" vertical="center" wrapText="1"/>
    </xf>
    <xf numFmtId="0" fontId="47" fillId="26" borderId="21" xfId="43" applyFont="1" applyFill="1" applyBorder="1" applyAlignment="1">
      <alignment horizontal="center" vertical="center" wrapText="1"/>
    </xf>
    <xf numFmtId="0" fontId="53" fillId="0" borderId="19" xfId="0" applyFont="1" applyBorder="1" applyAlignment="1">
      <alignment vertical="center" wrapText="1"/>
    </xf>
    <xf numFmtId="0" fontId="48" fillId="26" borderId="10" xfId="0" applyFont="1" applyFill="1" applyBorder="1" applyAlignment="1">
      <alignment horizontal="center" vertical="center" wrapText="1"/>
    </xf>
    <xf numFmtId="0" fontId="47" fillId="26" borderId="10" xfId="48" applyFont="1" applyFill="1" applyBorder="1" applyAlignment="1">
      <alignment horizontal="center" vertical="center" wrapText="1"/>
    </xf>
    <xf numFmtId="0" fontId="48" fillId="0" borderId="0" xfId="58" applyFont="1" applyAlignment="1">
      <alignment horizontal="right" wrapText="1"/>
    </xf>
    <xf numFmtId="0" fontId="44" fillId="0" borderId="0" xfId="58" applyFont="1" applyAlignment="1" applyProtection="1">
      <alignment horizontal="center" vertical="center" wrapText="1"/>
      <protection locked="0"/>
    </xf>
    <xf numFmtId="0" fontId="47" fillId="26" borderId="17" xfId="48" applyFont="1" applyFill="1" applyBorder="1" applyAlignment="1">
      <alignment vertical="center" wrapText="1"/>
    </xf>
    <xf numFmtId="0" fontId="47" fillId="26" borderId="19" xfId="48" applyFont="1" applyFill="1" applyBorder="1" applyAlignment="1">
      <alignment vertical="center" wrapText="1"/>
    </xf>
    <xf numFmtId="0" fontId="64" fillId="0" borderId="0" xfId="58" applyFont="1" applyAlignment="1">
      <alignment horizontal="center"/>
    </xf>
    <xf numFmtId="0" fontId="44" fillId="0" borderId="0" xfId="0" applyFont="1" applyAlignment="1">
      <alignment horizontal="center"/>
    </xf>
    <xf numFmtId="0" fontId="47" fillId="0" borderId="17" xfId="48" applyFont="1" applyBorder="1" applyAlignment="1">
      <alignment horizontal="left" vertical="center"/>
    </xf>
    <xf numFmtId="0" fontId="53" fillId="0" borderId="24" xfId="0" applyFont="1" applyBorder="1" applyAlignment="1">
      <alignment vertical="center"/>
    </xf>
    <xf numFmtId="0" fontId="53" fillId="0" borderId="19" xfId="0" applyFont="1" applyBorder="1" applyAlignment="1">
      <alignment vertical="center"/>
    </xf>
    <xf numFmtId="0" fontId="47" fillId="26" borderId="17" xfId="48" applyFont="1" applyFill="1" applyBorder="1" applyAlignment="1">
      <alignment horizontal="center" vertical="center" wrapText="1"/>
    </xf>
    <xf numFmtId="0" fontId="47" fillId="26" borderId="24" xfId="48" applyFont="1" applyFill="1" applyBorder="1" applyAlignment="1">
      <alignment horizontal="center" vertical="center" wrapText="1"/>
    </xf>
    <xf numFmtId="0" fontId="47" fillId="26" borderId="19" xfId="48" applyFont="1" applyFill="1" applyBorder="1" applyAlignment="1">
      <alignment horizontal="center" vertical="center" wrapText="1"/>
    </xf>
    <xf numFmtId="0" fontId="47" fillId="26" borderId="12" xfId="48" applyFont="1" applyFill="1" applyBorder="1" applyAlignment="1">
      <alignment horizontal="center" vertical="center" wrapText="1"/>
    </xf>
    <xf numFmtId="0" fontId="47" fillId="26" borderId="21" xfId="48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7" fillId="0" borderId="10" xfId="48" applyFont="1" applyBorder="1" applyAlignment="1">
      <alignment horizontal="left" vertical="center"/>
    </xf>
    <xf numFmtId="0" fontId="53" fillId="0" borderId="10" xfId="0" applyFont="1" applyBorder="1" applyAlignment="1">
      <alignment vertical="center"/>
    </xf>
    <xf numFmtId="0" fontId="44" fillId="0" borderId="0" xfId="51" applyFont="1" applyAlignment="1">
      <alignment horizontal="center"/>
    </xf>
    <xf numFmtId="0" fontId="48" fillId="0" borderId="15" xfId="43" applyFont="1" applyBorder="1" applyAlignment="1">
      <alignment horizontal="left" wrapText="1"/>
    </xf>
    <xf numFmtId="166" fontId="47" fillId="26" borderId="10" xfId="57" applyNumberFormat="1" applyFont="1" applyFill="1" applyBorder="1" applyAlignment="1">
      <alignment horizontal="center" vertical="center" wrapText="1"/>
    </xf>
    <xf numFmtId="166" fontId="62" fillId="0" borderId="0" xfId="57" applyNumberFormat="1" applyFont="1" applyBorder="1" applyAlignment="1">
      <alignment horizontal="center" vertical="center" wrapText="1"/>
    </xf>
    <xf numFmtId="166" fontId="44" fillId="0" borderId="0" xfId="57" applyNumberFormat="1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66" fontId="47" fillId="26" borderId="17" xfId="57" applyNumberFormat="1" applyFont="1" applyFill="1" applyBorder="1" applyAlignment="1">
      <alignment horizontal="left" vertical="center" wrapText="1" indent="1"/>
    </xf>
    <xf numFmtId="0" fontId="53" fillId="0" borderId="19" xfId="0" applyFont="1" applyBorder="1" applyAlignment="1">
      <alignment horizontal="left" vertical="center" wrapText="1" indent="1"/>
    </xf>
    <xf numFmtId="0" fontId="4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7" fillId="0" borderId="0" xfId="55" applyFont="1" applyAlignment="1">
      <alignment horizontal="center"/>
    </xf>
    <xf numFmtId="0" fontId="65" fillId="0" borderId="0" xfId="0" applyFont="1" applyAlignment="1">
      <alignment horizontal="center"/>
    </xf>
    <xf numFmtId="0" fontId="57" fillId="26" borderId="17" xfId="55" applyFont="1" applyFill="1" applyBorder="1" applyAlignment="1">
      <alignment horizontal="left" vertical="center"/>
    </xf>
    <xf numFmtId="0" fontId="57" fillId="0" borderId="19" xfId="0" applyFont="1" applyBorder="1" applyAlignment="1">
      <alignment horizontal="left" vertical="center"/>
    </xf>
    <xf numFmtId="0" fontId="47" fillId="26" borderId="17" xfId="50" applyFont="1" applyFill="1" applyBorder="1"/>
    <xf numFmtId="0" fontId="47" fillId="26" borderId="19" xfId="50" applyFont="1" applyFill="1" applyBorder="1"/>
    <xf numFmtId="0" fontId="47" fillId="26" borderId="17" xfId="50" applyFont="1" applyFill="1" applyBorder="1" applyAlignment="1">
      <alignment horizontal="left"/>
    </xf>
    <xf numFmtId="0" fontId="47" fillId="0" borderId="19" xfId="0" applyFont="1" applyBorder="1" applyAlignment="1">
      <alignment horizontal="left"/>
    </xf>
    <xf numFmtId="49" fontId="44" fillId="0" borderId="0" xfId="60" applyNumberFormat="1" applyFont="1" applyAlignment="1">
      <alignment horizontal="center"/>
    </xf>
    <xf numFmtId="49" fontId="53" fillId="0" borderId="0" xfId="0" applyNumberFormat="1" applyFont="1" applyAlignment="1">
      <alignment horizontal="center"/>
    </xf>
    <xf numFmtId="0" fontId="48" fillId="0" borderId="15" xfId="60" applyFont="1" applyBorder="1" applyAlignment="1">
      <alignment horizontal="right"/>
    </xf>
    <xf numFmtId="0" fontId="44" fillId="0" borderId="0" xfId="60" applyFont="1" applyAlignment="1">
      <alignment horizontal="center"/>
    </xf>
    <xf numFmtId="0" fontId="48" fillId="0" borderId="17" xfId="56" applyFont="1" applyBorder="1" applyAlignment="1" applyProtection="1">
      <alignment horizontal="left" wrapText="1"/>
      <protection locked="0"/>
    </xf>
    <xf numFmtId="0" fontId="53" fillId="0" borderId="24" xfId="0" applyFont="1" applyBorder="1" applyAlignment="1" applyProtection="1">
      <alignment horizontal="left" wrapText="1"/>
      <protection locked="0"/>
    </xf>
    <xf numFmtId="0" fontId="53" fillId="0" borderId="19" xfId="0" applyFont="1" applyBorder="1" applyAlignment="1" applyProtection="1">
      <alignment horizontal="left" wrapText="1"/>
      <protection locked="0"/>
    </xf>
    <xf numFmtId="0" fontId="48" fillId="0" borderId="10" xfId="56" applyFont="1" applyBorder="1" applyAlignment="1" applyProtection="1">
      <alignment horizontal="center" wrapText="1"/>
      <protection locked="0"/>
    </xf>
    <xf numFmtId="165" fontId="48" fillId="0" borderId="10" xfId="34" applyNumberFormat="1" applyFont="1" applyBorder="1" applyAlignment="1" applyProtection="1">
      <alignment horizontal="center" wrapText="1"/>
      <protection locked="0"/>
    </xf>
    <xf numFmtId="166" fontId="44" fillId="0" borderId="0" xfId="56" applyNumberFormat="1" applyFont="1" applyAlignment="1">
      <alignment horizontal="center" vertical="center" wrapText="1"/>
    </xf>
    <xf numFmtId="0" fontId="47" fillId="0" borderId="0" xfId="57" applyFont="1" applyAlignment="1">
      <alignment horizontal="right" wrapText="1"/>
    </xf>
    <xf numFmtId="166" fontId="48" fillId="0" borderId="0" xfId="57" applyNumberFormat="1" applyFont="1" applyAlignment="1">
      <alignment horizontal="right" vertical="center" wrapText="1"/>
    </xf>
    <xf numFmtId="0" fontId="47" fillId="26" borderId="10" xfId="56" applyFont="1" applyFill="1" applyBorder="1" applyAlignment="1">
      <alignment horizontal="center" vertical="center" wrapText="1"/>
    </xf>
    <xf numFmtId="166" fontId="47" fillId="0" borderId="0" xfId="56" applyNumberFormat="1" applyFont="1" applyAlignment="1">
      <alignment horizontal="left" vertical="center" wrapText="1"/>
    </xf>
    <xf numFmtId="0" fontId="48" fillId="0" borderId="10" xfId="56" applyFont="1" applyBorder="1" applyAlignment="1" applyProtection="1">
      <alignment horizontal="left" wrapText="1"/>
      <protection locked="0"/>
    </xf>
    <xf numFmtId="0" fontId="49" fillId="0" borderId="0" xfId="56" applyFont="1" applyBorder="1" applyAlignment="1">
      <alignment horizontal="left" vertical="center" wrapText="1"/>
    </xf>
    <xf numFmtId="0" fontId="47" fillId="26" borderId="10" xfId="56" applyFont="1" applyFill="1" applyBorder="1" applyAlignment="1">
      <alignment horizontal="left" vertical="center" wrapText="1"/>
    </xf>
    <xf numFmtId="165" fontId="47" fillId="26" borderId="10" xfId="34" applyNumberFormat="1" applyFont="1" applyFill="1" applyBorder="1" applyAlignment="1">
      <alignment horizontal="center" wrapText="1"/>
    </xf>
    <xf numFmtId="0" fontId="47" fillId="0" borderId="0" xfId="56" applyFont="1" applyAlignment="1">
      <alignment horizontal="left" wrapText="1"/>
    </xf>
    <xf numFmtId="0" fontId="47" fillId="26" borderId="10" xfId="56" applyFont="1" applyFill="1" applyBorder="1" applyAlignment="1">
      <alignment wrapText="1"/>
    </xf>
    <xf numFmtId="0" fontId="53" fillId="26" borderId="10" xfId="0" applyFont="1" applyFill="1" applyBorder="1" applyAlignment="1">
      <alignment wrapText="1"/>
    </xf>
    <xf numFmtId="0" fontId="47" fillId="26" borderId="10" xfId="60" applyFont="1" applyFill="1" applyBorder="1" applyAlignment="1">
      <alignment horizontal="center" vertical="center" wrapText="1"/>
    </xf>
    <xf numFmtId="0" fontId="44" fillId="0" borderId="0" xfId="54" applyFont="1" applyAlignment="1">
      <alignment horizontal="center" wrapText="1"/>
    </xf>
    <xf numFmtId="0" fontId="53" fillId="0" borderId="0" xfId="0" applyFont="1" applyAlignment="1">
      <alignment horizontal="center" wrapText="1"/>
    </xf>
    <xf numFmtId="0" fontId="47" fillId="0" borderId="0" xfId="54" applyFont="1" applyAlignment="1">
      <alignment horizontal="right"/>
    </xf>
    <xf numFmtId="0" fontId="48" fillId="0" borderId="0" xfId="54" applyFont="1" applyBorder="1" applyAlignment="1">
      <alignment horizontal="right"/>
    </xf>
    <xf numFmtId="0" fontId="47" fillId="26" borderId="10" xfId="54" applyFont="1" applyFill="1" applyBorder="1" applyAlignment="1"/>
    <xf numFmtId="0" fontId="47" fillId="26" borderId="10" xfId="0" applyFont="1" applyFill="1" applyBorder="1" applyAlignment="1"/>
    <xf numFmtId="0" fontId="47" fillId="26" borderId="10" xfId="54" applyFont="1" applyFill="1" applyBorder="1" applyAlignment="1">
      <alignment horizontal="center" vertical="center" wrapText="1"/>
    </xf>
    <xf numFmtId="0" fontId="47" fillId="26" borderId="10" xfId="54" applyFont="1" applyFill="1" applyBorder="1" applyAlignment="1">
      <alignment horizontal="center" vertical="center"/>
    </xf>
    <xf numFmtId="0" fontId="0" fillId="0" borderId="0" xfId="0" applyAlignment="1"/>
  </cellXfs>
  <cellStyles count="7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Ezres" xfId="29" builtinId="3"/>
    <cellStyle name="Ezres 2" xfId="30" xr:uid="{00000000-0005-0000-0000-00001D000000}"/>
    <cellStyle name="Ezres 3" xfId="31" xr:uid="{00000000-0005-0000-0000-00001E000000}"/>
    <cellStyle name="Ezres 4" xfId="32" xr:uid="{00000000-0005-0000-0000-00001F000000}"/>
    <cellStyle name="Ezres 4 2" xfId="33" xr:uid="{00000000-0005-0000-0000-000020000000}"/>
    <cellStyle name="Ezres 5" xfId="34" xr:uid="{00000000-0005-0000-0000-000021000000}"/>
    <cellStyle name="Ezres 5 2" xfId="69" xr:uid="{00000000-0005-0000-0000-000022000000}"/>
    <cellStyle name="Ezres 6" xfId="67" xr:uid="{00000000-0005-0000-0000-000023000000}"/>
    <cellStyle name="Good" xfId="35" xr:uid="{00000000-0005-0000-0000-000024000000}"/>
    <cellStyle name="Heading 1" xfId="36" xr:uid="{00000000-0005-0000-0000-000025000000}"/>
    <cellStyle name="Heading 2" xfId="37" xr:uid="{00000000-0005-0000-0000-000026000000}"/>
    <cellStyle name="Heading 3" xfId="38" xr:uid="{00000000-0005-0000-0000-000027000000}"/>
    <cellStyle name="Heading 4" xfId="39" xr:uid="{00000000-0005-0000-0000-000028000000}"/>
    <cellStyle name="Input" xfId="40" xr:uid="{00000000-0005-0000-0000-000029000000}"/>
    <cellStyle name="Linked Cell" xfId="41" xr:uid="{00000000-0005-0000-0000-00002A000000}"/>
    <cellStyle name="Neutral" xfId="42" xr:uid="{00000000-0005-0000-0000-00002B000000}"/>
    <cellStyle name="Normál" xfId="0" builtinId="0"/>
    <cellStyle name="Normál 2" xfId="43" xr:uid="{00000000-0005-0000-0000-00002D000000}"/>
    <cellStyle name="Normál 3" xfId="44" xr:uid="{00000000-0005-0000-0000-00002E000000}"/>
    <cellStyle name="Normál 3 2" xfId="45" xr:uid="{00000000-0005-0000-0000-00002F000000}"/>
    <cellStyle name="Normál 4" xfId="46" xr:uid="{00000000-0005-0000-0000-000030000000}"/>
    <cellStyle name="Normál 5" xfId="47" xr:uid="{00000000-0005-0000-0000-000031000000}"/>
    <cellStyle name="Normál 6" xfId="48" xr:uid="{00000000-0005-0000-0000-000032000000}"/>
    <cellStyle name="Normál 7" xfId="49" xr:uid="{00000000-0005-0000-0000-000033000000}"/>
    <cellStyle name="Normál 7 2" xfId="68" xr:uid="{00000000-0005-0000-0000-000034000000}"/>
    <cellStyle name="Normál_11szm" xfId="50" xr:uid="{00000000-0005-0000-0000-000036000000}"/>
    <cellStyle name="Normál_12.sz.mell.2013.évi fejlesztés" xfId="51" xr:uid="{00000000-0005-0000-0000-000037000000}"/>
    <cellStyle name="Normál_2010.évi tervezett beruházás, felújítás" xfId="52" xr:uid="{00000000-0005-0000-0000-000039000000}"/>
    <cellStyle name="Normál_3aszm" xfId="53" xr:uid="{00000000-0005-0000-0000-00003A000000}"/>
    <cellStyle name="Normál_6szm" xfId="54" xr:uid="{00000000-0005-0000-0000-00003C000000}"/>
    <cellStyle name="Normál_7szm" xfId="55" xr:uid="{00000000-0005-0000-0000-00003D000000}"/>
    <cellStyle name="Normál_KVRENMUNKA" xfId="56" xr:uid="{00000000-0005-0000-0000-00003F000000}"/>
    <cellStyle name="Normál_Másolat eredetijeKVIREND" xfId="57" xr:uid="{00000000-0005-0000-0000-000040000000}"/>
    <cellStyle name="Normál_Táblák 01-08 08.31." xfId="58" xr:uid="{00000000-0005-0000-0000-000041000000}"/>
    <cellStyle name="Normal_tanusitv" xfId="59" xr:uid="{00000000-0005-0000-0000-000042000000}"/>
    <cellStyle name="Normál_Zalakaros" xfId="60" xr:uid="{00000000-0005-0000-0000-000043000000}"/>
    <cellStyle name="Note" xfId="61" xr:uid="{00000000-0005-0000-0000-000044000000}"/>
    <cellStyle name="Output" xfId="62" xr:uid="{00000000-0005-0000-0000-000045000000}"/>
    <cellStyle name="Százalék 2" xfId="63" xr:uid="{00000000-0005-0000-0000-000046000000}"/>
    <cellStyle name="Title" xfId="64" xr:uid="{00000000-0005-0000-0000-000047000000}"/>
    <cellStyle name="Total" xfId="65" xr:uid="{00000000-0005-0000-0000-000048000000}"/>
    <cellStyle name="Warning Text" xfId="66" xr:uid="{00000000-0005-0000-0000-00004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Z77"/>
  <sheetViews>
    <sheetView tabSelected="1" zoomScaleNormal="100" zoomScaleSheetLayoutView="100" zoomScalePageLayoutView="90" workbookViewId="0">
      <selection activeCell="B14" sqref="B14"/>
    </sheetView>
  </sheetViews>
  <sheetFormatPr defaultColWidth="9.21875" defaultRowHeight="13.2" x14ac:dyDescent="0.25"/>
  <cols>
    <col min="1" max="1" width="4.44140625" style="225" customWidth="1"/>
    <col min="2" max="2" width="51.5546875" style="225" customWidth="1"/>
    <col min="3" max="4" width="14.5546875" style="225" hidden="1" customWidth="1"/>
    <col min="5" max="9" width="15.5546875" style="225" customWidth="1"/>
    <col min="10" max="10" width="5.5546875" style="225" customWidth="1"/>
    <col min="11" max="11" width="51.5546875" style="225" customWidth="1"/>
    <col min="12" max="12" width="13" style="225" hidden="1" customWidth="1"/>
    <col min="13" max="13" width="11.5546875" style="225" hidden="1" customWidth="1"/>
    <col min="14" max="18" width="13.77734375" style="225" customWidth="1"/>
    <col min="19" max="16384" width="9.21875" style="225"/>
  </cols>
  <sheetData>
    <row r="2" spans="1:18" ht="18" x14ac:dyDescent="0.35">
      <c r="A2" s="289" t="s">
        <v>351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</row>
    <row r="3" spans="1:18" ht="18" x14ac:dyDescent="0.35">
      <c r="A3" s="289" t="s">
        <v>357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spans="1:18" ht="18" x14ac:dyDescent="0.35">
      <c r="A4" s="289" t="s">
        <v>327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1:18" ht="18" customHeight="1" x14ac:dyDescent="0.35">
      <c r="A5" s="303" t="s">
        <v>548</v>
      </c>
      <c r="B5" s="303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0"/>
      <c r="N5" s="21"/>
      <c r="O5" s="21"/>
      <c r="P5" s="21"/>
      <c r="Q5" s="21"/>
      <c r="R5" s="21"/>
    </row>
    <row r="6" spans="1:18" ht="14.4" customHeight="1" x14ac:dyDescent="0.3">
      <c r="A6" s="303" t="s">
        <v>549</v>
      </c>
      <c r="B6" s="303"/>
      <c r="C6" s="22"/>
      <c r="D6" s="22"/>
      <c r="E6" s="22"/>
      <c r="F6" s="22"/>
      <c r="G6" s="22"/>
      <c r="H6" s="22"/>
      <c r="I6" s="22"/>
      <c r="J6" s="22"/>
      <c r="K6" s="22"/>
      <c r="L6" s="22"/>
      <c r="M6" s="290" t="s">
        <v>15</v>
      </c>
      <c r="N6" s="290"/>
    </row>
    <row r="7" spans="1:18" ht="47.25" customHeight="1" x14ac:dyDescent="0.25">
      <c r="A7" s="70" t="s">
        <v>362</v>
      </c>
      <c r="B7" s="70" t="s">
        <v>224</v>
      </c>
      <c r="C7" s="71" t="s">
        <v>345</v>
      </c>
      <c r="D7" s="71" t="s">
        <v>508</v>
      </c>
      <c r="E7" s="72" t="s">
        <v>480</v>
      </c>
      <c r="F7" s="226" t="s">
        <v>511</v>
      </c>
      <c r="G7" s="226" t="s">
        <v>512</v>
      </c>
      <c r="H7" s="226" t="s">
        <v>531</v>
      </c>
      <c r="I7" s="226" t="s">
        <v>532</v>
      </c>
      <c r="J7" s="73" t="s">
        <v>362</v>
      </c>
      <c r="K7" s="70" t="s">
        <v>224</v>
      </c>
      <c r="L7" s="71" t="str">
        <f t="shared" ref="L7:R7" si="0">C7</f>
        <v>Eredeti előirányzat 2021.</v>
      </c>
      <c r="M7" s="71" t="str">
        <f t="shared" si="0"/>
        <v>2021. évi várható teljesítés</v>
      </c>
      <c r="N7" s="71" t="str">
        <f t="shared" si="0"/>
        <v>Eredeti előirányzat 2022.</v>
      </c>
      <c r="O7" s="71" t="str">
        <f t="shared" si="0"/>
        <v>Előirányzat módosítás 2022.06</v>
      </c>
      <c r="P7" s="71" t="str">
        <f t="shared" si="0"/>
        <v>Módosított előirányzat 2022.06</v>
      </c>
      <c r="Q7" s="71" t="str">
        <f t="shared" si="0"/>
        <v>Előirányzat módosítás 2022.09</v>
      </c>
      <c r="R7" s="71" t="str">
        <f t="shared" si="0"/>
        <v>Módosított előirányzat 2022.09</v>
      </c>
    </row>
    <row r="8" spans="1:18" ht="15" customHeight="1" x14ac:dyDescent="0.25">
      <c r="A8" s="282" t="s">
        <v>411</v>
      </c>
      <c r="B8" s="282"/>
      <c r="C8" s="282"/>
      <c r="D8" s="282"/>
      <c r="E8" s="291"/>
      <c r="F8" s="227"/>
      <c r="G8" s="227"/>
      <c r="H8" s="227"/>
      <c r="I8" s="227"/>
      <c r="J8" s="284" t="s">
        <v>417</v>
      </c>
      <c r="K8" s="282"/>
      <c r="L8" s="282"/>
      <c r="M8" s="282"/>
      <c r="N8" s="282"/>
    </row>
    <row r="9" spans="1:18" ht="17.100000000000001" customHeight="1" x14ac:dyDescent="0.3">
      <c r="A9" s="269" t="s">
        <v>20</v>
      </c>
      <c r="B9" s="233" t="s">
        <v>225</v>
      </c>
      <c r="C9" s="77"/>
      <c r="D9" s="77"/>
      <c r="E9" s="78"/>
      <c r="F9" s="228"/>
      <c r="G9" s="228"/>
      <c r="H9" s="228"/>
      <c r="I9" s="228"/>
      <c r="J9" s="271" t="s">
        <v>20</v>
      </c>
      <c r="K9" s="79" t="s">
        <v>225</v>
      </c>
      <c r="L9" s="77"/>
      <c r="M9" s="77"/>
      <c r="N9" s="77"/>
      <c r="O9" s="77"/>
      <c r="P9" s="77"/>
      <c r="Q9" s="77"/>
      <c r="R9" s="77"/>
    </row>
    <row r="10" spans="1:18" ht="17.100000000000001" customHeight="1" x14ac:dyDescent="0.3">
      <c r="A10" s="277"/>
      <c r="B10" s="80" t="s">
        <v>240</v>
      </c>
      <c r="C10" s="81">
        <f>+'2a. Önkormányzat bevételek'!C8</f>
        <v>321529198</v>
      </c>
      <c r="D10" s="81">
        <f>+'2a. Önkormányzat bevételek'!D8</f>
        <v>327684944</v>
      </c>
      <c r="E10" s="81">
        <f>+'2a. Önkormányzat bevételek'!E8</f>
        <v>315656753</v>
      </c>
      <c r="F10" s="81">
        <f>24185150-14926500</f>
        <v>9258650</v>
      </c>
      <c r="G10" s="81">
        <f>E10+F10</f>
        <v>324915403</v>
      </c>
      <c r="H10" s="81">
        <f>11157283+14927300-1566000</f>
        <v>24518583</v>
      </c>
      <c r="I10" s="81">
        <f>G10+H10</f>
        <v>349433986</v>
      </c>
      <c r="J10" s="272"/>
      <c r="K10" s="80" t="s">
        <v>98</v>
      </c>
      <c r="L10" s="77">
        <f>+'2b. Önkormányzat kiadások'!C8</f>
        <v>95028000</v>
      </c>
      <c r="M10" s="77">
        <f>+'2b. Önkormányzat kiadások'!D8</f>
        <v>81801962</v>
      </c>
      <c r="N10" s="77">
        <f>+'2b. Önkormányzat kiadások'!E8</f>
        <v>100090000</v>
      </c>
      <c r="O10" s="77">
        <f>4928000</f>
        <v>4928000</v>
      </c>
      <c r="P10" s="77">
        <f>N10+O10</f>
        <v>105018000</v>
      </c>
      <c r="Q10" s="77">
        <f>6350000+1000000</f>
        <v>7350000</v>
      </c>
      <c r="R10" s="77">
        <f>P10+Q10</f>
        <v>112368000</v>
      </c>
    </row>
    <row r="11" spans="1:18" ht="17.100000000000001" customHeight="1" x14ac:dyDescent="0.3">
      <c r="A11" s="277"/>
      <c r="B11" s="82" t="s">
        <v>46</v>
      </c>
      <c r="C11" s="83">
        <f>+'2a. Önkormányzat bevételek'!C19</f>
        <v>134700000</v>
      </c>
      <c r="D11" s="83">
        <f>+'2a. Önkormányzat bevételek'!D19</f>
        <v>148273533</v>
      </c>
      <c r="E11" s="83">
        <f>+'2a. Önkormányzat bevételek'!E19</f>
        <v>132700000</v>
      </c>
      <c r="F11" s="83"/>
      <c r="G11" s="83">
        <f t="shared" ref="G11:G66" si="1">E11+F11</f>
        <v>132700000</v>
      </c>
      <c r="H11" s="83">
        <f>2000000+12000000</f>
        <v>14000000</v>
      </c>
      <c r="I11" s="83">
        <f t="shared" ref="I11:I15" si="2">G11+H11</f>
        <v>146700000</v>
      </c>
      <c r="J11" s="272"/>
      <c r="K11" s="85" t="s">
        <v>241</v>
      </c>
      <c r="L11" s="77">
        <f>+'2b. Önkormányzat kiadások'!C20</f>
        <v>15138000</v>
      </c>
      <c r="M11" s="77">
        <f>+'2b. Önkormányzat kiadások'!D20</f>
        <v>13849616</v>
      </c>
      <c r="N11" s="77">
        <f>+'2b. Önkormányzat kiadások'!E20</f>
        <v>15674000</v>
      </c>
      <c r="O11" s="77">
        <v>-30924000</v>
      </c>
      <c r="P11" s="77">
        <f t="shared" ref="P11:P69" si="3">N11+O11</f>
        <v>-15250000</v>
      </c>
      <c r="Q11" s="77">
        <f>1666500+130000</f>
        <v>1796500</v>
      </c>
      <c r="R11" s="77">
        <f t="shared" ref="R11:R69" si="4">P11+Q11</f>
        <v>-13453500</v>
      </c>
    </row>
    <row r="12" spans="1:18" ht="17.100000000000001" customHeight="1" x14ac:dyDescent="0.25">
      <c r="A12" s="277"/>
      <c r="B12" s="80" t="s">
        <v>403</v>
      </c>
      <c r="C12" s="83">
        <f>+'2a. Önkormányzat bevételek'!C26</f>
        <v>170777330</v>
      </c>
      <c r="D12" s="83">
        <f>+'2a. Önkormányzat bevételek'!D26</f>
        <v>171441924</v>
      </c>
      <c r="E12" s="83">
        <f>+'2a. Önkormányzat bevételek'!E26</f>
        <v>141911758</v>
      </c>
      <c r="F12" s="83">
        <f>7916736-7916809</f>
        <v>-73</v>
      </c>
      <c r="G12" s="83">
        <f t="shared" si="1"/>
        <v>141911685</v>
      </c>
      <c r="H12" s="83">
        <f>57303000+1651000+2500000</f>
        <v>61454000</v>
      </c>
      <c r="I12" s="83">
        <f t="shared" si="2"/>
        <v>203365685</v>
      </c>
      <c r="J12" s="272"/>
      <c r="K12" s="80" t="s">
        <v>123</v>
      </c>
      <c r="L12" s="77">
        <f>+'2b. Önkormányzat kiadások'!C21</f>
        <v>326405950</v>
      </c>
      <c r="M12" s="77">
        <f>+'2b. Önkormányzat kiadások'!D21</f>
        <v>186882389</v>
      </c>
      <c r="N12" s="77">
        <f>+'2b. Önkormányzat kiadások'!E21</f>
        <v>354792000</v>
      </c>
      <c r="O12" s="77">
        <v>8414000</v>
      </c>
      <c r="P12" s="77">
        <f t="shared" si="3"/>
        <v>363206000</v>
      </c>
      <c r="Q12" s="77">
        <f>45137680+351000+7810000</f>
        <v>53298680</v>
      </c>
      <c r="R12" s="77">
        <f t="shared" si="4"/>
        <v>416504680</v>
      </c>
    </row>
    <row r="13" spans="1:18" ht="17.100000000000001" customHeight="1" x14ac:dyDescent="0.25">
      <c r="A13" s="277"/>
      <c r="B13" s="80" t="s">
        <v>78</v>
      </c>
      <c r="C13" s="83"/>
      <c r="D13" s="83"/>
      <c r="E13" s="84">
        <v>0</v>
      </c>
      <c r="F13" s="84"/>
      <c r="G13" s="84">
        <f t="shared" si="1"/>
        <v>0</v>
      </c>
      <c r="H13" s="84">
        <f>1023237</f>
        <v>1023237</v>
      </c>
      <c r="I13" s="84">
        <f t="shared" si="2"/>
        <v>1023237</v>
      </c>
      <c r="J13" s="272"/>
      <c r="K13" s="80" t="s">
        <v>161</v>
      </c>
      <c r="L13" s="77">
        <f>+'2b. Önkormányzat kiadások'!C41</f>
        <v>9500000</v>
      </c>
      <c r="M13" s="77">
        <f>+'2b. Önkormányzat kiadások'!D41</f>
        <v>4724485</v>
      </c>
      <c r="N13" s="77">
        <f>+'2b. Önkormányzat kiadások'!E41</f>
        <v>8400000</v>
      </c>
      <c r="O13" s="77"/>
      <c r="P13" s="77">
        <f t="shared" si="3"/>
        <v>8400000</v>
      </c>
      <c r="Q13" s="77"/>
      <c r="R13" s="77">
        <f t="shared" si="4"/>
        <v>8400000</v>
      </c>
    </row>
    <row r="14" spans="1:18" ht="17.100000000000001" customHeight="1" x14ac:dyDescent="0.25">
      <c r="A14" s="277"/>
      <c r="B14" s="233"/>
      <c r="C14" s="86"/>
      <c r="D14" s="86"/>
      <c r="E14" s="87"/>
      <c r="F14" s="87"/>
      <c r="G14" s="87">
        <f t="shared" si="1"/>
        <v>0</v>
      </c>
      <c r="H14" s="87"/>
      <c r="I14" s="87">
        <f t="shared" si="2"/>
        <v>0</v>
      </c>
      <c r="J14" s="272"/>
      <c r="K14" s="80" t="s">
        <v>167</v>
      </c>
      <c r="L14" s="77">
        <f>+'2b. Önkormányzat kiadások'!C44-L15</f>
        <v>180066900</v>
      </c>
      <c r="M14" s="77">
        <f>+'2b. Önkormányzat kiadások'!D44-M15</f>
        <v>160006258</v>
      </c>
      <c r="N14" s="77">
        <f>+'2b. Önkormányzat kiadások'!E44-N15</f>
        <v>148588000</v>
      </c>
      <c r="O14" s="77">
        <f>36131449+2180000+350000</f>
        <v>38661449</v>
      </c>
      <c r="P14" s="77">
        <f t="shared" si="3"/>
        <v>187249449</v>
      </c>
      <c r="Q14" s="77">
        <f>-1000000+8032000-1566000</f>
        <v>5466000</v>
      </c>
      <c r="R14" s="77">
        <f t="shared" si="4"/>
        <v>192715449</v>
      </c>
    </row>
    <row r="15" spans="1:18" ht="17.100000000000001" customHeight="1" x14ac:dyDescent="0.25">
      <c r="A15" s="277"/>
      <c r="B15" s="233"/>
      <c r="C15" s="86"/>
      <c r="D15" s="86"/>
      <c r="E15" s="87"/>
      <c r="F15" s="87"/>
      <c r="G15" s="87">
        <f t="shared" si="1"/>
        <v>0</v>
      </c>
      <c r="H15" s="87"/>
      <c r="I15" s="87">
        <f t="shared" si="2"/>
        <v>0</v>
      </c>
      <c r="J15" s="272"/>
      <c r="K15" s="80" t="s">
        <v>248</v>
      </c>
      <c r="L15" s="77">
        <f>+'2b. Önkormányzat kiadások'!C49</f>
        <v>82175294</v>
      </c>
      <c r="M15" s="77">
        <f>+'2b. Önkormányzat kiadások'!D49</f>
        <v>0</v>
      </c>
      <c r="N15" s="77">
        <f>+'2b. Önkormányzat kiadások'!E49</f>
        <v>32624413</v>
      </c>
      <c r="O15" s="77">
        <f>-14229332-952500-350000</f>
        <v>-15531832</v>
      </c>
      <c r="P15" s="77">
        <f t="shared" si="3"/>
        <v>17092581</v>
      </c>
      <c r="Q15" s="77">
        <f>-9600360+1300000+2560000</f>
        <v>-5740360</v>
      </c>
      <c r="R15" s="77">
        <f t="shared" si="4"/>
        <v>11352221</v>
      </c>
    </row>
    <row r="16" spans="1:18" ht="17.100000000000001" customHeight="1" x14ac:dyDescent="0.25">
      <c r="A16" s="270"/>
      <c r="B16" s="233" t="s">
        <v>226</v>
      </c>
      <c r="C16" s="88">
        <f>SUM(C10:C13)</f>
        <v>627006528</v>
      </c>
      <c r="D16" s="88">
        <f>SUM(D10:D13)</f>
        <v>647400401</v>
      </c>
      <c r="E16" s="89">
        <f>SUM(E10:E13)</f>
        <v>590268511</v>
      </c>
      <c r="F16" s="89">
        <f t="shared" ref="F16:G16" si="5">SUM(F10:F13)</f>
        <v>9258577</v>
      </c>
      <c r="G16" s="89">
        <f t="shared" si="5"/>
        <v>599527088</v>
      </c>
      <c r="H16" s="89">
        <f t="shared" ref="H16:I16" si="6">SUM(H10:H13)</f>
        <v>100995820</v>
      </c>
      <c r="I16" s="89">
        <f t="shared" si="6"/>
        <v>700522908</v>
      </c>
      <c r="J16" s="273"/>
      <c r="K16" s="233" t="s">
        <v>226</v>
      </c>
      <c r="L16" s="90">
        <f>SUM(L10:L15)</f>
        <v>708314144</v>
      </c>
      <c r="M16" s="90">
        <f>SUM(M10:M15)</f>
        <v>447264710</v>
      </c>
      <c r="N16" s="90">
        <f>SUM(N10:N15)</f>
        <v>660168413</v>
      </c>
      <c r="O16" s="90">
        <f t="shared" ref="O16:Q16" si="7">SUM(O10:O15)</f>
        <v>5547617</v>
      </c>
      <c r="P16" s="90">
        <f t="shared" si="3"/>
        <v>665716030</v>
      </c>
      <c r="Q16" s="90">
        <f t="shared" si="7"/>
        <v>62170820</v>
      </c>
      <c r="R16" s="90">
        <f t="shared" si="4"/>
        <v>727886850</v>
      </c>
    </row>
    <row r="17" spans="1:18" ht="17.100000000000001" customHeight="1" x14ac:dyDescent="0.25">
      <c r="A17" s="269" t="s">
        <v>21</v>
      </c>
      <c r="B17" s="233" t="s">
        <v>227</v>
      </c>
      <c r="C17" s="83"/>
      <c r="D17" s="83"/>
      <c r="E17" s="84"/>
      <c r="F17" s="84"/>
      <c r="G17" s="84">
        <f t="shared" si="1"/>
        <v>0</v>
      </c>
      <c r="H17" s="84"/>
      <c r="I17" s="84">
        <f t="shared" ref="I17:I21" si="8">G17+H17</f>
        <v>0</v>
      </c>
      <c r="J17" s="271" t="s">
        <v>21</v>
      </c>
      <c r="K17" s="233" t="s">
        <v>227</v>
      </c>
      <c r="L17" s="77"/>
      <c r="M17" s="77"/>
      <c r="N17" s="77"/>
      <c r="O17" s="77"/>
      <c r="P17" s="77">
        <f t="shared" si="3"/>
        <v>0</v>
      </c>
      <c r="Q17" s="77"/>
      <c r="R17" s="77">
        <f t="shared" si="4"/>
        <v>0</v>
      </c>
    </row>
    <row r="18" spans="1:18" ht="17.100000000000001" customHeight="1" x14ac:dyDescent="0.3">
      <c r="A18" s="277"/>
      <c r="B18" s="80" t="str">
        <f>B10</f>
        <v>Működési célú támogatások államháztartáson belülről</v>
      </c>
      <c r="C18" s="81">
        <f>+'3a. Hivatal'!C8</f>
        <v>1300000</v>
      </c>
      <c r="D18" s="81">
        <f>+'3a. Hivatal'!D8</f>
        <v>1300000</v>
      </c>
      <c r="E18" s="81">
        <f>+'3a. Hivatal'!E8</f>
        <v>2475000</v>
      </c>
      <c r="F18" s="81">
        <v>4072000</v>
      </c>
      <c r="G18" s="81">
        <f t="shared" si="1"/>
        <v>6547000</v>
      </c>
      <c r="H18" s="81"/>
      <c r="I18" s="81">
        <f t="shared" si="8"/>
        <v>6547000</v>
      </c>
      <c r="J18" s="272"/>
      <c r="K18" s="80" t="str">
        <f>K10</f>
        <v>Személyi juttatások</v>
      </c>
      <c r="L18" s="77">
        <f>+'3a. Hivatal'!C30</f>
        <v>78250000</v>
      </c>
      <c r="M18" s="77">
        <f>+'3a. Hivatal'!D30</f>
        <v>72358313</v>
      </c>
      <c r="N18" s="77">
        <f>+'3a. Hivatal'!E30</f>
        <v>93555000</v>
      </c>
      <c r="O18" s="77">
        <v>3860000</v>
      </c>
      <c r="P18" s="77">
        <f t="shared" si="3"/>
        <v>97415000</v>
      </c>
      <c r="Q18" s="77"/>
      <c r="R18" s="77">
        <f t="shared" si="4"/>
        <v>97415000</v>
      </c>
    </row>
    <row r="19" spans="1:18" ht="17.100000000000001" customHeight="1" x14ac:dyDescent="0.25">
      <c r="A19" s="277"/>
      <c r="B19" s="80" t="str">
        <f>B11</f>
        <v>Közhatalmi bevételek</v>
      </c>
      <c r="C19" s="83">
        <f>+'3a. Hivatal'!C11</f>
        <v>1350000</v>
      </c>
      <c r="D19" s="83">
        <f>+'3a. Hivatal'!D11</f>
        <v>1510000</v>
      </c>
      <c r="E19" s="83">
        <f>+'3a. Hivatal'!E11</f>
        <v>1350000</v>
      </c>
      <c r="F19" s="83"/>
      <c r="G19" s="83">
        <f t="shared" si="1"/>
        <v>1350000</v>
      </c>
      <c r="H19" s="83"/>
      <c r="I19" s="83">
        <f t="shared" si="8"/>
        <v>1350000</v>
      </c>
      <c r="J19" s="272"/>
      <c r="K19" s="80" t="str">
        <f>K11</f>
        <v>Munkaadókat terhelő járulékok és szociális hozzájárulási adó</v>
      </c>
      <c r="L19" s="77">
        <f>+'3a. Hivatal'!C33</f>
        <v>12145000</v>
      </c>
      <c r="M19" s="77">
        <f>+'3a. Hivatal'!D33</f>
        <v>10539373</v>
      </c>
      <c r="N19" s="77">
        <f>+'3a. Hivatal'!E33</f>
        <v>13160000</v>
      </c>
      <c r="O19" s="77">
        <v>460000</v>
      </c>
      <c r="P19" s="77">
        <f t="shared" si="3"/>
        <v>13620000</v>
      </c>
      <c r="Q19" s="77"/>
      <c r="R19" s="77">
        <f t="shared" si="4"/>
        <v>13620000</v>
      </c>
    </row>
    <row r="20" spans="1:18" ht="17.100000000000001" customHeight="1" x14ac:dyDescent="0.25">
      <c r="A20" s="277"/>
      <c r="B20" s="80" t="str">
        <f>B12</f>
        <v xml:space="preserve">Működési bevételek </v>
      </c>
      <c r="C20" s="86">
        <f>+'3a. Hivatal'!C12</f>
        <v>156000</v>
      </c>
      <c r="D20" s="86">
        <f>+'3a. Hivatal'!D12</f>
        <v>5565</v>
      </c>
      <c r="E20" s="83">
        <f>+'3a. Hivatal'!E12</f>
        <v>156000</v>
      </c>
      <c r="F20" s="83"/>
      <c r="G20" s="83">
        <f t="shared" si="1"/>
        <v>156000</v>
      </c>
      <c r="H20" s="83"/>
      <c r="I20" s="83">
        <f t="shared" si="8"/>
        <v>156000</v>
      </c>
      <c r="J20" s="272"/>
      <c r="K20" s="80" t="str">
        <f>K12</f>
        <v>Dologi kiadások</v>
      </c>
      <c r="L20" s="77">
        <f>+'3a. Hivatal'!C34</f>
        <v>27084480</v>
      </c>
      <c r="M20" s="77">
        <f>+'3a. Hivatal'!D34</f>
        <v>17343912</v>
      </c>
      <c r="N20" s="77">
        <f>+'3a. Hivatal'!E34</f>
        <v>26771000</v>
      </c>
      <c r="O20" s="77">
        <v>-248000</v>
      </c>
      <c r="P20" s="77">
        <f t="shared" si="3"/>
        <v>26523000</v>
      </c>
      <c r="Q20" s="77">
        <f>2000000+3000000</f>
        <v>5000000</v>
      </c>
      <c r="R20" s="77">
        <f t="shared" si="4"/>
        <v>31523000</v>
      </c>
    </row>
    <row r="21" spans="1:18" ht="17.100000000000001" customHeight="1" x14ac:dyDescent="0.25">
      <c r="A21" s="277"/>
      <c r="B21" s="80" t="str">
        <f>B13</f>
        <v>Működési célú átvett pénzeszközök</v>
      </c>
      <c r="C21" s="86"/>
      <c r="D21" s="86"/>
      <c r="E21" s="84"/>
      <c r="F21" s="84"/>
      <c r="G21" s="84">
        <f t="shared" si="1"/>
        <v>0</v>
      </c>
      <c r="H21" s="84"/>
      <c r="I21" s="84">
        <f t="shared" si="8"/>
        <v>0</v>
      </c>
      <c r="J21" s="272"/>
      <c r="K21" s="80" t="str">
        <f>K13</f>
        <v>Ellátottak pénzbeli juttatásai</v>
      </c>
      <c r="L21" s="77"/>
      <c r="M21" s="77"/>
      <c r="N21" s="77"/>
      <c r="O21" s="77"/>
      <c r="P21" s="77">
        <f t="shared" si="3"/>
        <v>0</v>
      </c>
      <c r="Q21" s="77"/>
      <c r="R21" s="77">
        <f t="shared" si="4"/>
        <v>0</v>
      </c>
    </row>
    <row r="22" spans="1:18" ht="17.100000000000001" customHeight="1" x14ac:dyDescent="0.25">
      <c r="A22" s="270"/>
      <c r="B22" s="233" t="s">
        <v>348</v>
      </c>
      <c r="C22" s="88">
        <f>SUM(C18:C20)</f>
        <v>2806000</v>
      </c>
      <c r="D22" s="88">
        <f>SUM(D18:D20)</f>
        <v>2815565</v>
      </c>
      <c r="E22" s="89">
        <f>SUM(E18:E20)</f>
        <v>3981000</v>
      </c>
      <c r="F22" s="89">
        <f t="shared" ref="F22:G22" si="9">SUM(F18:F20)</f>
        <v>4072000</v>
      </c>
      <c r="G22" s="89">
        <f t="shared" si="9"/>
        <v>8053000</v>
      </c>
      <c r="H22" s="89">
        <f t="shared" ref="H22:I22" si="10">SUM(H18:H20)</f>
        <v>0</v>
      </c>
      <c r="I22" s="89">
        <f t="shared" si="10"/>
        <v>8053000</v>
      </c>
      <c r="J22" s="273"/>
      <c r="K22" s="233" t="s">
        <v>348</v>
      </c>
      <c r="L22" s="90">
        <f>SUM(L17:L21)</f>
        <v>117479480</v>
      </c>
      <c r="M22" s="90">
        <f>SUM(M17:M21)</f>
        <v>100241598</v>
      </c>
      <c r="N22" s="90">
        <f>SUM(N17:N21)</f>
        <v>133486000</v>
      </c>
      <c r="O22" s="90">
        <f t="shared" ref="O22:Q22" si="11">SUM(O17:O21)</f>
        <v>4072000</v>
      </c>
      <c r="P22" s="90">
        <f t="shared" si="3"/>
        <v>137558000</v>
      </c>
      <c r="Q22" s="90">
        <f t="shared" si="11"/>
        <v>5000000</v>
      </c>
      <c r="R22" s="90">
        <f t="shared" si="4"/>
        <v>142558000</v>
      </c>
    </row>
    <row r="23" spans="1:18" ht="17.100000000000001" customHeight="1" x14ac:dyDescent="0.25">
      <c r="A23" s="269" t="s">
        <v>22</v>
      </c>
      <c r="B23" s="233" t="s">
        <v>346</v>
      </c>
      <c r="C23" s="83"/>
      <c r="D23" s="83"/>
      <c r="E23" s="84"/>
      <c r="F23" s="84"/>
      <c r="G23" s="84">
        <f t="shared" si="1"/>
        <v>0</v>
      </c>
      <c r="H23" s="84"/>
      <c r="I23" s="84">
        <f t="shared" ref="I23:I27" si="12">G23+H23</f>
        <v>0</v>
      </c>
      <c r="J23" s="271" t="s">
        <v>22</v>
      </c>
      <c r="K23" s="233" t="s">
        <v>346</v>
      </c>
      <c r="L23" s="77"/>
      <c r="M23" s="77"/>
      <c r="N23" s="77"/>
      <c r="O23" s="77"/>
      <c r="P23" s="77">
        <f t="shared" si="3"/>
        <v>0</v>
      </c>
      <c r="Q23" s="77"/>
      <c r="R23" s="77">
        <f t="shared" si="4"/>
        <v>0</v>
      </c>
    </row>
    <row r="24" spans="1:18" ht="17.100000000000001" customHeight="1" x14ac:dyDescent="0.25">
      <c r="A24" s="277"/>
      <c r="B24" s="80" t="str">
        <f>B10</f>
        <v>Működési célú támogatások államháztartáson belülről</v>
      </c>
      <c r="C24" s="83">
        <f>+'4. Művelődési Ház'!C8</f>
        <v>6000000</v>
      </c>
      <c r="D24" s="83">
        <f>+'4. Művelődési Ház'!D8</f>
        <v>7600000</v>
      </c>
      <c r="E24" s="83">
        <f>+'4. Művelődési Ház'!E8</f>
        <v>3367000</v>
      </c>
      <c r="F24" s="83"/>
      <c r="G24" s="83">
        <f t="shared" si="1"/>
        <v>3367000</v>
      </c>
      <c r="H24" s="83">
        <f>800000+400000</f>
        <v>1200000</v>
      </c>
      <c r="I24" s="83">
        <f t="shared" si="12"/>
        <v>4567000</v>
      </c>
      <c r="J24" s="272"/>
      <c r="K24" s="80" t="str">
        <f>K10</f>
        <v>Személyi juttatások</v>
      </c>
      <c r="L24" s="77">
        <f>+'4. Művelődési Ház'!C30</f>
        <v>14100000</v>
      </c>
      <c r="M24" s="77">
        <f>+'4. Művelődési Ház'!D30</f>
        <v>14100000</v>
      </c>
      <c r="N24" s="77">
        <f>+'4. Művelődési Ház'!E30</f>
        <v>14970000</v>
      </c>
      <c r="O24" s="77"/>
      <c r="P24" s="77">
        <f t="shared" si="3"/>
        <v>14970000</v>
      </c>
      <c r="Q24" s="77"/>
      <c r="R24" s="77">
        <f t="shared" si="4"/>
        <v>14970000</v>
      </c>
    </row>
    <row r="25" spans="1:18" ht="17.100000000000001" customHeight="1" x14ac:dyDescent="0.25">
      <c r="A25" s="277"/>
      <c r="B25" s="80" t="str">
        <f>B11</f>
        <v>Közhatalmi bevételek</v>
      </c>
      <c r="C25" s="83"/>
      <c r="D25" s="83"/>
      <c r="E25" s="84"/>
      <c r="F25" s="84"/>
      <c r="G25" s="84">
        <f t="shared" si="1"/>
        <v>0</v>
      </c>
      <c r="H25" s="84"/>
      <c r="I25" s="84">
        <f t="shared" si="12"/>
        <v>0</v>
      </c>
      <c r="J25" s="272"/>
      <c r="K25" s="80" t="str">
        <f>K11</f>
        <v>Munkaadókat terhelő járulékok és szociális hozzájárulási adó</v>
      </c>
      <c r="L25" s="77">
        <f>+'4. Művelődési Ház'!C33</f>
        <v>2400000</v>
      </c>
      <c r="M25" s="77">
        <f>+'4. Művelődési Ház'!D33</f>
        <v>2400000</v>
      </c>
      <c r="N25" s="77">
        <f>+'4. Művelődési Ház'!E33</f>
        <v>2250000</v>
      </c>
      <c r="O25" s="77"/>
      <c r="P25" s="77">
        <f t="shared" si="3"/>
        <v>2250000</v>
      </c>
      <c r="Q25" s="77"/>
      <c r="R25" s="77">
        <f t="shared" si="4"/>
        <v>2250000</v>
      </c>
    </row>
    <row r="26" spans="1:18" ht="17.100000000000001" customHeight="1" x14ac:dyDescent="0.25">
      <c r="A26" s="277"/>
      <c r="B26" s="80" t="str">
        <f>B12</f>
        <v xml:space="preserve">Működési bevételek </v>
      </c>
      <c r="C26" s="86">
        <f>+'4. Művelődési Ház'!C12</f>
        <v>161000</v>
      </c>
      <c r="D26" s="86">
        <f>+'4. Művelődési Ház'!D12</f>
        <v>2961000</v>
      </c>
      <c r="E26" s="83">
        <f>+'4. Művelődési Ház'!E12</f>
        <v>661000</v>
      </c>
      <c r="F26" s="83"/>
      <c r="G26" s="83">
        <f t="shared" si="1"/>
        <v>661000</v>
      </c>
      <c r="H26" s="83">
        <f>600000</f>
        <v>600000</v>
      </c>
      <c r="I26" s="83">
        <f t="shared" si="12"/>
        <v>1261000</v>
      </c>
      <c r="J26" s="272"/>
      <c r="K26" s="80" t="str">
        <f>K12</f>
        <v>Dologi kiadások</v>
      </c>
      <c r="L26" s="77">
        <f>+'4. Művelődési Ház'!C34</f>
        <v>31670000</v>
      </c>
      <c r="M26" s="77">
        <f>+'4. Művelődési Ház'!D34</f>
        <v>31670000</v>
      </c>
      <c r="N26" s="77">
        <f>+'4. Művelődési Ház'!E34</f>
        <v>37720000</v>
      </c>
      <c r="O26" s="77"/>
      <c r="P26" s="77">
        <f t="shared" si="3"/>
        <v>37720000</v>
      </c>
      <c r="Q26" s="77">
        <f>4400000+400000</f>
        <v>4800000</v>
      </c>
      <c r="R26" s="77">
        <f t="shared" si="4"/>
        <v>42520000</v>
      </c>
    </row>
    <row r="27" spans="1:18" ht="17.100000000000001" customHeight="1" x14ac:dyDescent="0.25">
      <c r="A27" s="277"/>
      <c r="B27" s="80" t="str">
        <f>B13</f>
        <v>Működési célú átvett pénzeszközök</v>
      </c>
      <c r="C27" s="86"/>
      <c r="D27" s="86"/>
      <c r="E27" s="84"/>
      <c r="F27" s="84"/>
      <c r="G27" s="84">
        <f t="shared" si="1"/>
        <v>0</v>
      </c>
      <c r="H27" s="84"/>
      <c r="I27" s="84">
        <f t="shared" si="12"/>
        <v>0</v>
      </c>
      <c r="J27" s="272"/>
      <c r="K27" s="80" t="str">
        <f>K13</f>
        <v>Ellátottak pénzbeli juttatásai</v>
      </c>
      <c r="L27" s="77"/>
      <c r="M27" s="77"/>
      <c r="N27" s="77"/>
      <c r="O27" s="77"/>
      <c r="P27" s="77">
        <f t="shared" si="3"/>
        <v>0</v>
      </c>
      <c r="Q27" s="77"/>
      <c r="R27" s="77">
        <f t="shared" si="4"/>
        <v>0</v>
      </c>
    </row>
    <row r="28" spans="1:18" ht="17.100000000000001" customHeight="1" x14ac:dyDescent="0.25">
      <c r="A28" s="270"/>
      <c r="B28" s="233" t="s">
        <v>349</v>
      </c>
      <c r="C28" s="88">
        <f>SUM(C24:C26)</f>
        <v>6161000</v>
      </c>
      <c r="D28" s="88">
        <f>SUM(D24:D26)</f>
        <v>10561000</v>
      </c>
      <c r="E28" s="89">
        <f>SUM(E24:E26)</f>
        <v>4028000</v>
      </c>
      <c r="F28" s="89">
        <f t="shared" ref="F28:G28" si="13">SUM(F24:F26)</f>
        <v>0</v>
      </c>
      <c r="G28" s="89">
        <f t="shared" si="13"/>
        <v>4028000</v>
      </c>
      <c r="H28" s="89">
        <f t="shared" ref="H28:I28" si="14">SUM(H24:H26)</f>
        <v>1800000</v>
      </c>
      <c r="I28" s="89">
        <f t="shared" si="14"/>
        <v>5828000</v>
      </c>
      <c r="J28" s="273"/>
      <c r="K28" s="233" t="s">
        <v>349</v>
      </c>
      <c r="L28" s="90">
        <f>SUM(L23:L27)</f>
        <v>48170000</v>
      </c>
      <c r="M28" s="90">
        <f>SUM(M23:M27)</f>
        <v>48170000</v>
      </c>
      <c r="N28" s="90">
        <f>SUM(N23:N27)</f>
        <v>54940000</v>
      </c>
      <c r="O28" s="90">
        <f>SUM(O23:O27)</f>
        <v>0</v>
      </c>
      <c r="P28" s="90">
        <f t="shared" si="3"/>
        <v>54940000</v>
      </c>
      <c r="Q28" s="90">
        <f>SUM(Q23:Q27)</f>
        <v>4800000</v>
      </c>
      <c r="R28" s="90">
        <f t="shared" si="4"/>
        <v>59740000</v>
      </c>
    </row>
    <row r="29" spans="1:18" ht="17.100000000000001" customHeight="1" x14ac:dyDescent="0.3">
      <c r="A29" s="278" t="s">
        <v>412</v>
      </c>
      <c r="B29" s="278"/>
      <c r="C29" s="88">
        <f>C16+C22+C28</f>
        <v>635973528</v>
      </c>
      <c r="D29" s="88">
        <f>D16+D22+D28</f>
        <v>660776966</v>
      </c>
      <c r="E29" s="89">
        <f>E16+E22+E28</f>
        <v>598277511</v>
      </c>
      <c r="F29" s="89">
        <f t="shared" ref="F29:G29" si="15">F16+F22+F28</f>
        <v>13330577</v>
      </c>
      <c r="G29" s="89">
        <f t="shared" si="15"/>
        <v>611608088</v>
      </c>
      <c r="H29" s="89">
        <f t="shared" ref="H29:I29" si="16">H16+H22+H28</f>
        <v>102795820</v>
      </c>
      <c r="I29" s="89">
        <f t="shared" si="16"/>
        <v>714403908</v>
      </c>
      <c r="J29" s="279" t="s">
        <v>418</v>
      </c>
      <c r="K29" s="280"/>
      <c r="L29" s="90">
        <f>L16+L22+L28</f>
        <v>873963624</v>
      </c>
      <c r="M29" s="90">
        <f>M16+M22+M28</f>
        <v>595676308</v>
      </c>
      <c r="N29" s="90">
        <f>N16+N22+N28</f>
        <v>848594413</v>
      </c>
      <c r="O29" s="90">
        <f t="shared" ref="O29:Q29" si="17">O16+O22+O28</f>
        <v>9619617</v>
      </c>
      <c r="P29" s="90">
        <f t="shared" si="3"/>
        <v>858214030</v>
      </c>
      <c r="Q29" s="90">
        <f t="shared" si="17"/>
        <v>71970820</v>
      </c>
      <c r="R29" s="90">
        <f t="shared" si="4"/>
        <v>930184850</v>
      </c>
    </row>
    <row r="30" spans="1:18" ht="17.100000000000001" customHeight="1" x14ac:dyDescent="0.3">
      <c r="A30" s="286" t="s">
        <v>424</v>
      </c>
      <c r="B30" s="287"/>
      <c r="C30" s="88"/>
      <c r="D30" s="88"/>
      <c r="E30" s="89"/>
      <c r="F30" s="89"/>
      <c r="G30" s="89"/>
      <c r="H30" s="89"/>
      <c r="I30" s="89"/>
      <c r="J30" s="288" t="s">
        <v>425</v>
      </c>
      <c r="K30" s="287"/>
      <c r="L30" s="90"/>
      <c r="M30" s="90"/>
      <c r="N30" s="90"/>
      <c r="O30" s="90"/>
      <c r="P30" s="90">
        <f t="shared" si="3"/>
        <v>0</v>
      </c>
      <c r="Q30" s="90"/>
      <c r="R30" s="90">
        <f t="shared" si="4"/>
        <v>0</v>
      </c>
    </row>
    <row r="31" spans="1:18" ht="17.100000000000001" customHeight="1" x14ac:dyDescent="0.25">
      <c r="A31" s="269" t="s">
        <v>20</v>
      </c>
      <c r="B31" s="233" t="s">
        <v>225</v>
      </c>
      <c r="C31" s="88">
        <f>C32</f>
        <v>114808366</v>
      </c>
      <c r="D31" s="88">
        <f>D32</f>
        <v>485482577</v>
      </c>
      <c r="E31" s="88">
        <f>E32</f>
        <v>259645500</v>
      </c>
      <c r="F31" s="88">
        <f t="shared" ref="F31:I31" si="18">F32</f>
        <v>181396</v>
      </c>
      <c r="G31" s="88">
        <f t="shared" si="18"/>
        <v>259826896</v>
      </c>
      <c r="H31" s="88">
        <f t="shared" si="18"/>
        <v>0</v>
      </c>
      <c r="I31" s="88">
        <f t="shared" si="18"/>
        <v>259826896</v>
      </c>
      <c r="J31" s="269" t="s">
        <v>20</v>
      </c>
      <c r="K31" s="233" t="s">
        <v>225</v>
      </c>
      <c r="L31" s="88">
        <f>L32</f>
        <v>9399806</v>
      </c>
      <c r="M31" s="88">
        <f>M32</f>
        <v>9007646</v>
      </c>
      <c r="N31" s="88">
        <f>N32</f>
        <v>9328598</v>
      </c>
      <c r="O31" s="88">
        <f t="shared" ref="O31:Q31" si="19">O32</f>
        <v>178836</v>
      </c>
      <c r="P31" s="88">
        <f t="shared" si="3"/>
        <v>9507434</v>
      </c>
      <c r="Q31" s="88">
        <f t="shared" si="19"/>
        <v>0</v>
      </c>
      <c r="R31" s="88">
        <f t="shared" si="4"/>
        <v>9507434</v>
      </c>
    </row>
    <row r="32" spans="1:18" ht="17.100000000000001" customHeight="1" x14ac:dyDescent="0.25">
      <c r="A32" s="270"/>
      <c r="B32" s="101"/>
      <c r="C32" s="108">
        <f>+'2a. Önkormányzat bevételek'!C44-C61</f>
        <v>114808366</v>
      </c>
      <c r="D32" s="108">
        <f>+'2a. Önkormányzat bevételek'!D44-D61</f>
        <v>485482577</v>
      </c>
      <c r="E32" s="108">
        <f>+'2a. Önkormányzat bevételek'!E44-E67</f>
        <v>259645500</v>
      </c>
      <c r="F32" s="108">
        <f>178836+2560</f>
        <v>181396</v>
      </c>
      <c r="G32" s="108">
        <f>E32+F32</f>
        <v>259826896</v>
      </c>
      <c r="H32" s="108"/>
      <c r="I32" s="108">
        <f>G32+H32</f>
        <v>259826896</v>
      </c>
      <c r="J32" s="270"/>
      <c r="K32" s="101"/>
      <c r="L32" s="108">
        <f>+'2b. Önkormányzat kiadások'!C64</f>
        <v>9399806</v>
      </c>
      <c r="M32" s="108">
        <f>+'2b. Önkormányzat kiadások'!D64</f>
        <v>9007646</v>
      </c>
      <c r="N32" s="108">
        <f>+'2b. Önkormányzat kiadások'!E64</f>
        <v>9328598</v>
      </c>
      <c r="O32" s="108">
        <f>178836</f>
        <v>178836</v>
      </c>
      <c r="P32" s="108">
        <f t="shared" si="3"/>
        <v>9507434</v>
      </c>
      <c r="Q32" s="108"/>
      <c r="R32" s="108">
        <f t="shared" si="4"/>
        <v>9507434</v>
      </c>
    </row>
    <row r="33" spans="1:18" ht="17.100000000000001" customHeight="1" x14ac:dyDescent="0.25">
      <c r="A33" s="269" t="s">
        <v>21</v>
      </c>
      <c r="B33" s="233" t="s">
        <v>227</v>
      </c>
      <c r="C33" s="88">
        <f>C34</f>
        <v>1392000</v>
      </c>
      <c r="D33" s="88">
        <f>D34</f>
        <v>1391727</v>
      </c>
      <c r="E33" s="88">
        <f>E34</f>
        <v>0</v>
      </c>
      <c r="F33" s="88">
        <f t="shared" ref="F33:I33" si="20">F34</f>
        <v>4596941</v>
      </c>
      <c r="G33" s="88">
        <f t="shared" si="20"/>
        <v>4596941</v>
      </c>
      <c r="H33" s="88">
        <f t="shared" si="20"/>
        <v>0</v>
      </c>
      <c r="I33" s="88">
        <f t="shared" si="20"/>
        <v>4596941</v>
      </c>
      <c r="J33" s="269" t="s">
        <v>21</v>
      </c>
      <c r="K33" s="233" t="s">
        <v>227</v>
      </c>
      <c r="L33" s="88">
        <f>L34</f>
        <v>0</v>
      </c>
      <c r="M33" s="88">
        <f t="shared" ref="M33:Q33" si="21">M34</f>
        <v>0</v>
      </c>
      <c r="N33" s="88">
        <f t="shared" si="21"/>
        <v>0</v>
      </c>
      <c r="O33" s="88">
        <f t="shared" si="21"/>
        <v>0</v>
      </c>
      <c r="P33" s="88">
        <f t="shared" si="3"/>
        <v>0</v>
      </c>
      <c r="Q33" s="88">
        <f t="shared" si="21"/>
        <v>0</v>
      </c>
      <c r="R33" s="88">
        <f t="shared" si="4"/>
        <v>0</v>
      </c>
    </row>
    <row r="34" spans="1:18" ht="17.100000000000001" customHeight="1" x14ac:dyDescent="0.25">
      <c r="A34" s="270"/>
      <c r="B34" s="101"/>
      <c r="C34" s="108">
        <f>+'3a. Hivatal'!C23</f>
        <v>1392000</v>
      </c>
      <c r="D34" s="108">
        <f>+'3a. Hivatal'!D23</f>
        <v>1391727</v>
      </c>
      <c r="E34" s="108">
        <f>+'3a. Hivatal'!E23</f>
        <v>0</v>
      </c>
      <c r="F34" s="108">
        <v>4596941</v>
      </c>
      <c r="G34" s="108">
        <f t="shared" si="1"/>
        <v>4596941</v>
      </c>
      <c r="H34" s="108"/>
      <c r="I34" s="108">
        <f t="shared" ref="I34" si="22">G34+H34</f>
        <v>4596941</v>
      </c>
      <c r="J34" s="270"/>
      <c r="K34" s="101"/>
      <c r="L34" s="88"/>
      <c r="M34" s="88"/>
      <c r="N34" s="89"/>
      <c r="O34" s="89"/>
      <c r="P34" s="89">
        <f t="shared" si="3"/>
        <v>0</v>
      </c>
      <c r="Q34" s="89"/>
      <c r="R34" s="89">
        <f t="shared" si="4"/>
        <v>0</v>
      </c>
    </row>
    <row r="35" spans="1:18" ht="17.100000000000001" customHeight="1" x14ac:dyDescent="0.25">
      <c r="A35" s="269" t="s">
        <v>22</v>
      </c>
      <c r="B35" s="233" t="s">
        <v>346</v>
      </c>
      <c r="C35" s="88">
        <f>C36</f>
        <v>2036000</v>
      </c>
      <c r="D35" s="88">
        <f>D36</f>
        <v>2036000</v>
      </c>
      <c r="E35" s="88">
        <f>E36</f>
        <v>0</v>
      </c>
      <c r="F35" s="88">
        <f t="shared" ref="F35:I35" si="23">F36</f>
        <v>1722023</v>
      </c>
      <c r="G35" s="88">
        <f t="shared" si="23"/>
        <v>1722023</v>
      </c>
      <c r="H35" s="88">
        <f t="shared" si="23"/>
        <v>0</v>
      </c>
      <c r="I35" s="88">
        <f t="shared" si="23"/>
        <v>1722023</v>
      </c>
      <c r="J35" s="269" t="s">
        <v>22</v>
      </c>
      <c r="K35" s="233" t="s">
        <v>346</v>
      </c>
      <c r="L35" s="88">
        <f>L36</f>
        <v>0</v>
      </c>
      <c r="M35" s="88">
        <f>M36</f>
        <v>0</v>
      </c>
      <c r="N35" s="88">
        <f>N36</f>
        <v>0</v>
      </c>
      <c r="O35" s="88">
        <f t="shared" ref="O35:Q35" si="24">O36</f>
        <v>0</v>
      </c>
      <c r="P35" s="88">
        <f t="shared" si="3"/>
        <v>0</v>
      </c>
      <c r="Q35" s="88">
        <f t="shared" si="24"/>
        <v>0</v>
      </c>
      <c r="R35" s="88">
        <f t="shared" si="4"/>
        <v>0</v>
      </c>
    </row>
    <row r="36" spans="1:18" ht="17.100000000000001" customHeight="1" x14ac:dyDescent="0.25">
      <c r="A36" s="270"/>
      <c r="B36" s="101"/>
      <c r="C36" s="108">
        <f>+'4. Művelődési Ház'!C23</f>
        <v>2036000</v>
      </c>
      <c r="D36" s="108">
        <f>+'4. Művelődési Ház'!D23</f>
        <v>2036000</v>
      </c>
      <c r="E36" s="108">
        <f>+'4. Művelődési Ház'!E23</f>
        <v>0</v>
      </c>
      <c r="F36" s="108">
        <v>1722023</v>
      </c>
      <c r="G36" s="108">
        <f t="shared" si="1"/>
        <v>1722023</v>
      </c>
      <c r="H36" s="108"/>
      <c r="I36" s="108">
        <f t="shared" ref="I36" si="25">G36+H36</f>
        <v>1722023</v>
      </c>
      <c r="J36" s="270"/>
      <c r="K36" s="101"/>
      <c r="L36" s="88"/>
      <c r="M36" s="88"/>
      <c r="N36" s="89"/>
      <c r="O36" s="89"/>
      <c r="P36" s="89">
        <f t="shared" si="3"/>
        <v>0</v>
      </c>
      <c r="Q36" s="89"/>
      <c r="R36" s="89">
        <f t="shared" si="4"/>
        <v>0</v>
      </c>
    </row>
    <row r="37" spans="1:18" ht="17.100000000000001" customHeight="1" x14ac:dyDescent="0.25">
      <c r="A37" s="278" t="s">
        <v>423</v>
      </c>
      <c r="B37" s="278"/>
      <c r="C37" s="86">
        <f>C31+C33+C35</f>
        <v>118236366</v>
      </c>
      <c r="D37" s="86">
        <f t="shared" ref="D37:G37" si="26">D31+D33+D35</f>
        <v>488910304</v>
      </c>
      <c r="E37" s="86">
        <f t="shared" si="26"/>
        <v>259645500</v>
      </c>
      <c r="F37" s="86">
        <f t="shared" si="26"/>
        <v>6500360</v>
      </c>
      <c r="G37" s="86">
        <f t="shared" si="26"/>
        <v>266145860</v>
      </c>
      <c r="H37" s="86">
        <f t="shared" ref="H37:I37" si="27">H31+H33+H35</f>
        <v>0</v>
      </c>
      <c r="I37" s="86">
        <f t="shared" si="27"/>
        <v>266145860</v>
      </c>
      <c r="J37" s="281" t="s">
        <v>228</v>
      </c>
      <c r="K37" s="278"/>
      <c r="L37" s="86">
        <f>L31+L33+L35</f>
        <v>9399806</v>
      </c>
      <c r="M37" s="86">
        <f>M31+M33+M35</f>
        <v>9007646</v>
      </c>
      <c r="N37" s="86">
        <f>N31+N33+N35</f>
        <v>9328598</v>
      </c>
      <c r="O37" s="86">
        <f t="shared" ref="O37:Q37" si="28">O31+O33+O35</f>
        <v>178836</v>
      </c>
      <c r="P37" s="86">
        <f t="shared" si="3"/>
        <v>9507434</v>
      </c>
      <c r="Q37" s="86">
        <f t="shared" si="28"/>
        <v>0</v>
      </c>
      <c r="R37" s="86">
        <f t="shared" si="4"/>
        <v>9507434</v>
      </c>
    </row>
    <row r="38" spans="1:18" ht="17.100000000000001" customHeight="1" x14ac:dyDescent="0.3">
      <c r="A38" s="285" t="s">
        <v>414</v>
      </c>
      <c r="B38" s="275"/>
      <c r="C38" s="66">
        <f>C29+C37</f>
        <v>754209894</v>
      </c>
      <c r="D38" s="66">
        <f>D29+D37</f>
        <v>1149687270</v>
      </c>
      <c r="E38" s="67">
        <f>E29+E37</f>
        <v>857923011</v>
      </c>
      <c r="F38" s="67">
        <f t="shared" ref="F38:G38" si="29">F29+F37</f>
        <v>19830937</v>
      </c>
      <c r="G38" s="67">
        <f t="shared" si="29"/>
        <v>877753948</v>
      </c>
      <c r="H38" s="67">
        <f t="shared" ref="H38:I38" si="30">H29+H37</f>
        <v>102795820</v>
      </c>
      <c r="I38" s="67">
        <f t="shared" si="30"/>
        <v>980549768</v>
      </c>
      <c r="J38" s="274" t="s">
        <v>419</v>
      </c>
      <c r="K38" s="275"/>
      <c r="L38" s="66">
        <f>L29+L37</f>
        <v>883363430</v>
      </c>
      <c r="M38" s="66">
        <f>M29+M37</f>
        <v>604683954</v>
      </c>
      <c r="N38" s="66">
        <f>N29+N37</f>
        <v>857923011</v>
      </c>
      <c r="O38" s="66">
        <f t="shared" ref="O38:Q38" si="31">O29+O37</f>
        <v>9798453</v>
      </c>
      <c r="P38" s="66">
        <f t="shared" si="3"/>
        <v>867721464</v>
      </c>
      <c r="Q38" s="66">
        <f t="shared" si="31"/>
        <v>71970820</v>
      </c>
      <c r="R38" s="66">
        <f t="shared" si="4"/>
        <v>939692284</v>
      </c>
    </row>
    <row r="39" spans="1:18" ht="17.100000000000001" customHeight="1" x14ac:dyDescent="0.3">
      <c r="A39" s="282" t="s">
        <v>413</v>
      </c>
      <c r="B39" s="283"/>
      <c r="C39" s="76"/>
      <c r="D39" s="76"/>
      <c r="E39" s="102"/>
      <c r="F39" s="102"/>
      <c r="G39" s="102"/>
      <c r="H39" s="102"/>
      <c r="I39" s="102"/>
      <c r="J39" s="284" t="s">
        <v>420</v>
      </c>
      <c r="K39" s="283"/>
      <c r="L39" s="103"/>
      <c r="M39" s="103"/>
      <c r="N39" s="103"/>
      <c r="O39" s="103"/>
      <c r="P39" s="103">
        <f t="shared" si="3"/>
        <v>0</v>
      </c>
      <c r="Q39" s="103"/>
      <c r="R39" s="103">
        <f t="shared" si="4"/>
        <v>0</v>
      </c>
    </row>
    <row r="40" spans="1:18" ht="17.100000000000001" customHeight="1" x14ac:dyDescent="0.3">
      <c r="A40" s="278" t="s">
        <v>229</v>
      </c>
      <c r="B40" s="278"/>
      <c r="C40" s="77"/>
      <c r="D40" s="77"/>
      <c r="E40" s="78"/>
      <c r="F40" s="78"/>
      <c r="G40" s="78"/>
      <c r="H40" s="78"/>
      <c r="I40" s="78"/>
      <c r="J40" s="281" t="s">
        <v>409</v>
      </c>
      <c r="K40" s="278"/>
      <c r="L40" s="92"/>
      <c r="M40" s="92"/>
      <c r="N40" s="92"/>
      <c r="O40" s="92"/>
      <c r="P40" s="92">
        <f t="shared" si="3"/>
        <v>0</v>
      </c>
      <c r="Q40" s="92"/>
      <c r="R40" s="92">
        <f t="shared" si="4"/>
        <v>0</v>
      </c>
    </row>
    <row r="41" spans="1:18" ht="17.100000000000001" customHeight="1" x14ac:dyDescent="0.3">
      <c r="A41" s="269" t="s">
        <v>20</v>
      </c>
      <c r="B41" s="93" t="s">
        <v>225</v>
      </c>
      <c r="C41" s="77"/>
      <c r="D41" s="77"/>
      <c r="E41" s="78"/>
      <c r="F41" s="78"/>
      <c r="G41" s="78"/>
      <c r="H41" s="78"/>
      <c r="I41" s="78"/>
      <c r="J41" s="271" t="s">
        <v>20</v>
      </c>
      <c r="K41" s="79" t="s">
        <v>225</v>
      </c>
      <c r="L41" s="77"/>
      <c r="M41" s="77"/>
      <c r="N41" s="77"/>
      <c r="O41" s="77"/>
      <c r="P41" s="77">
        <f t="shared" si="3"/>
        <v>0</v>
      </c>
      <c r="Q41" s="77"/>
      <c r="R41" s="77">
        <f t="shared" si="4"/>
        <v>0</v>
      </c>
    </row>
    <row r="42" spans="1:18" ht="17.100000000000001" customHeight="1" x14ac:dyDescent="0.25">
      <c r="A42" s="277"/>
      <c r="B42" s="80" t="s">
        <v>404</v>
      </c>
      <c r="C42" s="77">
        <f>+'2a. Önkormányzat bevételek'!C16</f>
        <v>228780000</v>
      </c>
      <c r="D42" s="77">
        <f>+'2a. Önkormányzat bevételek'!D16</f>
        <v>187495173</v>
      </c>
      <c r="E42" s="77">
        <f>+'2a. Önkormányzat bevételek'!E16</f>
        <v>108487500</v>
      </c>
      <c r="F42" s="77">
        <f>2584323+43438884</f>
        <v>46023207</v>
      </c>
      <c r="G42" s="77">
        <f t="shared" si="1"/>
        <v>154510707</v>
      </c>
      <c r="H42" s="77"/>
      <c r="I42" s="77">
        <f t="shared" ref="I42:I44" si="32">G42+H42</f>
        <v>154510707</v>
      </c>
      <c r="J42" s="272"/>
      <c r="K42" s="80" t="s">
        <v>408</v>
      </c>
      <c r="L42" s="77">
        <f>+'2b. Önkormányzat kiadások'!C50</f>
        <v>523575000</v>
      </c>
      <c r="M42" s="77">
        <f>+'2b. Önkormányzat kiadások'!D50</f>
        <v>200848560</v>
      </c>
      <c r="N42" s="77">
        <f>+'2b. Önkormányzat kiadások'!E50</f>
        <v>352049000</v>
      </c>
      <c r="O42" s="77">
        <f>58019000+952500-5225171-2691639+1</f>
        <v>51054691</v>
      </c>
      <c r="P42" s="77">
        <f t="shared" si="3"/>
        <v>403103691</v>
      </c>
      <c r="Q42" s="77">
        <f>27680000</f>
        <v>27680000</v>
      </c>
      <c r="R42" s="77">
        <f t="shared" si="4"/>
        <v>430783691</v>
      </c>
    </row>
    <row r="43" spans="1:18" ht="17.100000000000001" customHeight="1" x14ac:dyDescent="0.25">
      <c r="A43" s="277"/>
      <c r="B43" s="80" t="s">
        <v>405</v>
      </c>
      <c r="C43" s="77">
        <f>+'2a. Önkormányzat bevételek'!C36</f>
        <v>3448000</v>
      </c>
      <c r="D43" s="77">
        <f>+'2a. Önkormányzat bevételek'!D36</f>
        <v>3448441</v>
      </c>
      <c r="E43" s="77">
        <f>+'2a. Önkormányzat bevételek'!E36</f>
        <v>12000000</v>
      </c>
      <c r="F43" s="77"/>
      <c r="G43" s="77">
        <f t="shared" si="1"/>
        <v>12000000</v>
      </c>
      <c r="H43" s="77"/>
      <c r="I43" s="77">
        <f t="shared" si="32"/>
        <v>12000000</v>
      </c>
      <c r="J43" s="272"/>
      <c r="K43" s="80" t="s">
        <v>187</v>
      </c>
      <c r="L43" s="77">
        <f>+'2b. Önkormányzat kiadások'!C56</f>
        <v>39903000</v>
      </c>
      <c r="M43" s="77">
        <f>+'2b. Önkormányzat kiadások'!D56</f>
        <v>37265748</v>
      </c>
      <c r="N43" s="77">
        <f>+'2b. Önkormányzat kiadások'!E56</f>
        <v>66001000</v>
      </c>
      <c r="O43" s="77">
        <v>5001000</v>
      </c>
      <c r="P43" s="77">
        <f t="shared" si="3"/>
        <v>71002000</v>
      </c>
      <c r="Q43" s="77">
        <f>1300000</f>
        <v>1300000</v>
      </c>
      <c r="R43" s="77">
        <f t="shared" si="4"/>
        <v>72302000</v>
      </c>
    </row>
    <row r="44" spans="1:18" ht="17.100000000000001" customHeight="1" x14ac:dyDescent="0.25">
      <c r="A44" s="277"/>
      <c r="B44" s="80" t="s">
        <v>82</v>
      </c>
      <c r="C44" s="77">
        <f>+'2a. Önkormányzat bevételek'!C41</f>
        <v>0</v>
      </c>
      <c r="D44" s="77">
        <f>+'2a. Önkormányzat bevételek'!D41</f>
        <v>0</v>
      </c>
      <c r="E44" s="77">
        <f>+'2a. Önkormányzat bevételek'!E41</f>
        <v>0</v>
      </c>
      <c r="F44" s="77"/>
      <c r="G44" s="77">
        <f t="shared" si="1"/>
        <v>0</v>
      </c>
      <c r="H44" s="77"/>
      <c r="I44" s="77">
        <f t="shared" si="32"/>
        <v>0</v>
      </c>
      <c r="J44" s="272"/>
      <c r="K44" s="80" t="s">
        <v>193</v>
      </c>
      <c r="L44" s="77">
        <f>+'2b. Önkormányzat kiadások'!C59</f>
        <v>59134000</v>
      </c>
      <c r="M44" s="77">
        <f>+'2b. Önkormányzat kiadások'!D59</f>
        <v>59134000</v>
      </c>
      <c r="N44" s="77">
        <f>+'2b. Önkormányzat kiadások'!E59</f>
        <v>0</v>
      </c>
      <c r="O44" s="77">
        <f>+'2b. Önkormányzat kiadások'!F59</f>
        <v>0</v>
      </c>
      <c r="P44" s="77">
        <f t="shared" si="3"/>
        <v>0</v>
      </c>
      <c r="Q44" s="77"/>
      <c r="R44" s="77">
        <f t="shared" si="4"/>
        <v>0</v>
      </c>
    </row>
    <row r="45" spans="1:18" s="7" customFormat="1" ht="17.100000000000001" customHeight="1" x14ac:dyDescent="0.3">
      <c r="A45" s="270"/>
      <c r="B45" s="233" t="s">
        <v>226</v>
      </c>
      <c r="C45" s="94">
        <f>SUM(C42:C44)</f>
        <v>232228000</v>
      </c>
      <c r="D45" s="94">
        <f>SUM(D42:D44)</f>
        <v>190943614</v>
      </c>
      <c r="E45" s="95">
        <f>SUM(E42:E44)</f>
        <v>120487500</v>
      </c>
      <c r="F45" s="95">
        <f t="shared" ref="F45:G45" si="33">SUM(F42:F44)</f>
        <v>46023207</v>
      </c>
      <c r="G45" s="95">
        <f t="shared" si="33"/>
        <v>166510707</v>
      </c>
      <c r="H45" s="95">
        <f t="shared" ref="H45:I45" si="34">SUM(H42:H44)</f>
        <v>0</v>
      </c>
      <c r="I45" s="95">
        <f t="shared" si="34"/>
        <v>166510707</v>
      </c>
      <c r="J45" s="273"/>
      <c r="K45" s="233" t="s">
        <v>226</v>
      </c>
      <c r="L45" s="90">
        <f>SUM(L42:L44)</f>
        <v>622612000</v>
      </c>
      <c r="M45" s="90">
        <f>SUM(M42:M44)</f>
        <v>297248308</v>
      </c>
      <c r="N45" s="90">
        <f>SUM(N42:N44)</f>
        <v>418050000</v>
      </c>
      <c r="O45" s="90">
        <f t="shared" ref="O45:Q45" si="35">SUM(O42:O44)</f>
        <v>56055691</v>
      </c>
      <c r="P45" s="90">
        <f t="shared" si="3"/>
        <v>474105691</v>
      </c>
      <c r="Q45" s="90">
        <f t="shared" si="35"/>
        <v>28980000</v>
      </c>
      <c r="R45" s="90">
        <f t="shared" si="4"/>
        <v>503085691</v>
      </c>
    </row>
    <row r="46" spans="1:18" s="7" customFormat="1" ht="17.100000000000001" customHeight="1" x14ac:dyDescent="0.25">
      <c r="A46" s="269" t="s">
        <v>21</v>
      </c>
      <c r="B46" s="233" t="s">
        <v>227</v>
      </c>
      <c r="C46" s="90"/>
      <c r="D46" s="90"/>
      <c r="E46" s="96"/>
      <c r="F46" s="96"/>
      <c r="G46" s="96">
        <f t="shared" si="1"/>
        <v>0</v>
      </c>
      <c r="H46" s="96"/>
      <c r="I46" s="96">
        <f t="shared" ref="I46:I49" si="36">G46+H46</f>
        <v>0</v>
      </c>
      <c r="J46" s="271" t="s">
        <v>21</v>
      </c>
      <c r="K46" s="233" t="s">
        <v>227</v>
      </c>
      <c r="L46" s="97"/>
      <c r="M46" s="97"/>
      <c r="N46" s="97"/>
      <c r="O46" s="97"/>
      <c r="P46" s="97">
        <f t="shared" si="3"/>
        <v>0</v>
      </c>
      <c r="Q46" s="97"/>
      <c r="R46" s="97">
        <f t="shared" si="4"/>
        <v>0</v>
      </c>
    </row>
    <row r="47" spans="1:18" s="7" customFormat="1" ht="17.100000000000001" customHeight="1" x14ac:dyDescent="0.25">
      <c r="A47" s="299"/>
      <c r="B47" s="80" t="s">
        <v>404</v>
      </c>
      <c r="C47" s="90"/>
      <c r="D47" s="90"/>
      <c r="E47" s="96"/>
      <c r="F47" s="96"/>
      <c r="G47" s="96">
        <f t="shared" si="1"/>
        <v>0</v>
      </c>
      <c r="H47" s="96"/>
      <c r="I47" s="96">
        <f t="shared" si="36"/>
        <v>0</v>
      </c>
      <c r="J47" s="276"/>
      <c r="K47" s="80" t="s">
        <v>408</v>
      </c>
      <c r="L47" s="97">
        <f>+'3a. Hivatal'!C42</f>
        <v>1747520</v>
      </c>
      <c r="M47" s="97">
        <f>+'3a. Hivatal'!D42</f>
        <v>419000</v>
      </c>
      <c r="N47" s="97">
        <f>+'3a. Hivatal'!E42</f>
        <v>1397000</v>
      </c>
      <c r="O47" s="97"/>
      <c r="P47" s="97">
        <f t="shared" si="3"/>
        <v>1397000</v>
      </c>
      <c r="Q47" s="97">
        <f>1000000</f>
        <v>1000000</v>
      </c>
      <c r="R47" s="97">
        <f t="shared" si="4"/>
        <v>2397000</v>
      </c>
    </row>
    <row r="48" spans="1:18" s="7" customFormat="1" ht="17.100000000000001" customHeight="1" x14ac:dyDescent="0.25">
      <c r="A48" s="299"/>
      <c r="B48" s="80" t="s">
        <v>405</v>
      </c>
      <c r="C48" s="90"/>
      <c r="D48" s="90"/>
      <c r="E48" s="96"/>
      <c r="F48" s="96"/>
      <c r="G48" s="96">
        <f t="shared" si="1"/>
        <v>0</v>
      </c>
      <c r="H48" s="96"/>
      <c r="I48" s="96">
        <f t="shared" si="36"/>
        <v>0</v>
      </c>
      <c r="J48" s="276"/>
      <c r="K48" s="80" t="s">
        <v>187</v>
      </c>
      <c r="L48" s="97"/>
      <c r="M48" s="97"/>
      <c r="N48" s="97"/>
      <c r="O48" s="97"/>
      <c r="P48" s="97">
        <f t="shared" si="3"/>
        <v>0</v>
      </c>
      <c r="Q48" s="97"/>
      <c r="R48" s="97">
        <f t="shared" si="4"/>
        <v>0</v>
      </c>
    </row>
    <row r="49" spans="1:18" s="7" customFormat="1" ht="17.100000000000001" customHeight="1" x14ac:dyDescent="0.25">
      <c r="A49" s="277"/>
      <c r="B49" s="80" t="s">
        <v>82</v>
      </c>
      <c r="C49" s="77"/>
      <c r="D49" s="77"/>
      <c r="E49" s="78"/>
      <c r="F49" s="78"/>
      <c r="G49" s="78">
        <f t="shared" si="1"/>
        <v>0</v>
      </c>
      <c r="H49" s="78"/>
      <c r="I49" s="78">
        <f t="shared" si="36"/>
        <v>0</v>
      </c>
      <c r="J49" s="272"/>
      <c r="K49" s="80" t="s">
        <v>193</v>
      </c>
      <c r="L49" s="77"/>
      <c r="M49" s="77"/>
      <c r="N49" s="77"/>
      <c r="O49" s="77"/>
      <c r="P49" s="77">
        <f t="shared" si="3"/>
        <v>0</v>
      </c>
      <c r="Q49" s="77"/>
      <c r="R49" s="77">
        <f t="shared" si="4"/>
        <v>0</v>
      </c>
    </row>
    <row r="50" spans="1:18" s="7" customFormat="1" ht="17.100000000000001" customHeight="1" x14ac:dyDescent="0.25">
      <c r="A50" s="270"/>
      <c r="B50" s="233" t="s">
        <v>348</v>
      </c>
      <c r="C50" s="90">
        <f>SUM(C47:C49)</f>
        <v>0</v>
      </c>
      <c r="D50" s="90">
        <f>SUM(D47:D49)</f>
        <v>0</v>
      </c>
      <c r="E50" s="90">
        <f>SUM(E47:E49)</f>
        <v>0</v>
      </c>
      <c r="F50" s="90">
        <f t="shared" ref="F50:G50" si="37">SUM(F47:F49)</f>
        <v>0</v>
      </c>
      <c r="G50" s="90">
        <f t="shared" si="37"/>
        <v>0</v>
      </c>
      <c r="H50" s="90">
        <f t="shared" ref="H50:I50" si="38">SUM(H47:H49)</f>
        <v>0</v>
      </c>
      <c r="I50" s="90">
        <f t="shared" si="38"/>
        <v>0</v>
      </c>
      <c r="J50" s="273"/>
      <c r="K50" s="233" t="s">
        <v>230</v>
      </c>
      <c r="L50" s="90">
        <f>SUM(L47:L49)</f>
        <v>1747520</v>
      </c>
      <c r="M50" s="90">
        <f>SUM(M47:M49)</f>
        <v>419000</v>
      </c>
      <c r="N50" s="90">
        <f>SUM(N47:N49)</f>
        <v>1397000</v>
      </c>
      <c r="O50" s="90">
        <f t="shared" ref="O50:Q50" si="39">SUM(O47:O49)</f>
        <v>0</v>
      </c>
      <c r="P50" s="90">
        <f t="shared" si="3"/>
        <v>1397000</v>
      </c>
      <c r="Q50" s="90">
        <f t="shared" si="39"/>
        <v>1000000</v>
      </c>
      <c r="R50" s="90">
        <f t="shared" si="4"/>
        <v>2397000</v>
      </c>
    </row>
    <row r="51" spans="1:18" s="7" customFormat="1" ht="17.100000000000001" customHeight="1" x14ac:dyDescent="0.25">
      <c r="A51" s="269" t="s">
        <v>22</v>
      </c>
      <c r="B51" s="233" t="s">
        <v>346</v>
      </c>
      <c r="C51" s="91"/>
      <c r="D51" s="91"/>
      <c r="E51" s="98"/>
      <c r="F51" s="98"/>
      <c r="G51" s="98">
        <f t="shared" si="1"/>
        <v>0</v>
      </c>
      <c r="H51" s="98"/>
      <c r="I51" s="98">
        <f t="shared" ref="I51:I54" si="40">G51+H51</f>
        <v>0</v>
      </c>
      <c r="J51" s="271" t="s">
        <v>22</v>
      </c>
      <c r="K51" s="233" t="s">
        <v>346</v>
      </c>
      <c r="L51" s="77"/>
      <c r="M51" s="77"/>
      <c r="N51" s="77"/>
      <c r="O51" s="77"/>
      <c r="P51" s="77">
        <f t="shared" si="3"/>
        <v>0</v>
      </c>
      <c r="Q51" s="77"/>
      <c r="R51" s="77">
        <f t="shared" si="4"/>
        <v>0</v>
      </c>
    </row>
    <row r="52" spans="1:18" s="7" customFormat="1" ht="17.100000000000001" customHeight="1" x14ac:dyDescent="0.25">
      <c r="A52" s="299"/>
      <c r="B52" s="80" t="s">
        <v>404</v>
      </c>
      <c r="C52" s="91"/>
      <c r="D52" s="91"/>
      <c r="E52" s="98"/>
      <c r="F52" s="98"/>
      <c r="G52" s="98">
        <f t="shared" si="1"/>
        <v>0</v>
      </c>
      <c r="H52" s="98"/>
      <c r="I52" s="98">
        <f t="shared" si="40"/>
        <v>0</v>
      </c>
      <c r="J52" s="276"/>
      <c r="K52" s="80" t="s">
        <v>408</v>
      </c>
      <c r="L52" s="77">
        <f>+'4. Művelődési Ház'!C42</f>
        <v>2301000</v>
      </c>
      <c r="M52" s="77">
        <f>+'4. Művelődési Ház'!D42</f>
        <v>2301000</v>
      </c>
      <c r="N52" s="77">
        <f>+'4. Művelődési Ház'!E42</f>
        <v>1395000</v>
      </c>
      <c r="O52" s="77"/>
      <c r="P52" s="77">
        <f t="shared" si="3"/>
        <v>1395000</v>
      </c>
      <c r="Q52" s="77">
        <f>845000</f>
        <v>845000</v>
      </c>
      <c r="R52" s="77">
        <f t="shared" si="4"/>
        <v>2240000</v>
      </c>
    </row>
    <row r="53" spans="1:18" s="7" customFormat="1" ht="17.100000000000001" customHeight="1" x14ac:dyDescent="0.25">
      <c r="A53" s="299"/>
      <c r="B53" s="80" t="s">
        <v>405</v>
      </c>
      <c r="C53" s="91"/>
      <c r="D53" s="91"/>
      <c r="E53" s="98"/>
      <c r="F53" s="98"/>
      <c r="G53" s="98">
        <f t="shared" si="1"/>
        <v>0</v>
      </c>
      <c r="H53" s="98"/>
      <c r="I53" s="98">
        <f t="shared" si="40"/>
        <v>0</v>
      </c>
      <c r="J53" s="276"/>
      <c r="K53" s="80" t="s">
        <v>187</v>
      </c>
      <c r="L53" s="77"/>
      <c r="M53" s="77"/>
      <c r="N53" s="77"/>
      <c r="O53" s="77"/>
      <c r="P53" s="77">
        <f t="shared" si="3"/>
        <v>0</v>
      </c>
      <c r="Q53" s="77"/>
      <c r="R53" s="77">
        <f t="shared" si="4"/>
        <v>0</v>
      </c>
    </row>
    <row r="54" spans="1:18" s="7" customFormat="1" ht="17.100000000000001" customHeight="1" x14ac:dyDescent="0.25">
      <c r="A54" s="277"/>
      <c r="B54" s="80" t="s">
        <v>82</v>
      </c>
      <c r="C54" s="77"/>
      <c r="D54" s="77"/>
      <c r="E54" s="78"/>
      <c r="F54" s="78"/>
      <c r="G54" s="78">
        <f t="shared" si="1"/>
        <v>0</v>
      </c>
      <c r="H54" s="78"/>
      <c r="I54" s="78">
        <f t="shared" si="40"/>
        <v>0</v>
      </c>
      <c r="J54" s="272"/>
      <c r="K54" s="80" t="s">
        <v>193</v>
      </c>
      <c r="L54" s="77"/>
      <c r="M54" s="77"/>
      <c r="N54" s="77"/>
      <c r="O54" s="77"/>
      <c r="P54" s="77">
        <f t="shared" si="3"/>
        <v>0</v>
      </c>
      <c r="Q54" s="77"/>
      <c r="R54" s="77">
        <f t="shared" si="4"/>
        <v>0</v>
      </c>
    </row>
    <row r="55" spans="1:18" s="7" customFormat="1" ht="17.100000000000001" customHeight="1" x14ac:dyDescent="0.25">
      <c r="A55" s="270"/>
      <c r="B55" s="233" t="s">
        <v>349</v>
      </c>
      <c r="C55" s="90">
        <f>SUM(C52:C54)</f>
        <v>0</v>
      </c>
      <c r="D55" s="90">
        <f>SUM(D52:D54)</f>
        <v>0</v>
      </c>
      <c r="E55" s="90">
        <f>SUM(E52:E54)</f>
        <v>0</v>
      </c>
      <c r="F55" s="90">
        <f t="shared" ref="F55:G55" si="41">SUM(F52:F54)</f>
        <v>0</v>
      </c>
      <c r="G55" s="90">
        <f t="shared" si="41"/>
        <v>0</v>
      </c>
      <c r="H55" s="90">
        <f t="shared" ref="H55:I55" si="42">SUM(H52:H54)</f>
        <v>0</v>
      </c>
      <c r="I55" s="90">
        <f t="shared" si="42"/>
        <v>0</v>
      </c>
      <c r="J55" s="273"/>
      <c r="K55" s="233" t="s">
        <v>347</v>
      </c>
      <c r="L55" s="90">
        <f>SUM(L52:L54)</f>
        <v>2301000</v>
      </c>
      <c r="M55" s="90">
        <f>SUM(M52:M54)</f>
        <v>2301000</v>
      </c>
      <c r="N55" s="90">
        <f>SUM(N52:N54)</f>
        <v>1395000</v>
      </c>
      <c r="O55" s="90">
        <f t="shared" ref="O55:Q55" si="43">SUM(O52:O54)</f>
        <v>0</v>
      </c>
      <c r="P55" s="90">
        <f t="shared" si="3"/>
        <v>1395000</v>
      </c>
      <c r="Q55" s="90">
        <f t="shared" si="43"/>
        <v>845000</v>
      </c>
      <c r="R55" s="90">
        <f t="shared" si="4"/>
        <v>2240000</v>
      </c>
    </row>
    <row r="56" spans="1:18" ht="17.100000000000001" customHeight="1" x14ac:dyDescent="0.25">
      <c r="A56" s="278" t="s">
        <v>415</v>
      </c>
      <c r="B56" s="278"/>
      <c r="C56" s="88">
        <f>C45+C50+C55</f>
        <v>232228000</v>
      </c>
      <c r="D56" s="88">
        <f>D45+D50+D55</f>
        <v>190943614</v>
      </c>
      <c r="E56" s="89">
        <f>E45+E50+E55</f>
        <v>120487500</v>
      </c>
      <c r="F56" s="89">
        <f t="shared" ref="F56:G56" si="44">F45+F50+F55</f>
        <v>46023207</v>
      </c>
      <c r="G56" s="89">
        <f t="shared" si="44"/>
        <v>166510707</v>
      </c>
      <c r="H56" s="89">
        <f t="shared" ref="H56:I56" si="45">H45+H50+H55</f>
        <v>0</v>
      </c>
      <c r="I56" s="89">
        <f t="shared" si="45"/>
        <v>166510707</v>
      </c>
      <c r="J56" s="281" t="s">
        <v>421</v>
      </c>
      <c r="K56" s="278"/>
      <c r="L56" s="90">
        <f>L45+L50+L55</f>
        <v>626660520</v>
      </c>
      <c r="M56" s="90">
        <f>M45+M50+M55</f>
        <v>299968308</v>
      </c>
      <c r="N56" s="90">
        <f>N45+N50+N55</f>
        <v>420842000</v>
      </c>
      <c r="O56" s="90">
        <f t="shared" ref="O56:Q56" si="46">O45+O50+O55</f>
        <v>56055691</v>
      </c>
      <c r="P56" s="90">
        <f t="shared" si="3"/>
        <v>476897691</v>
      </c>
      <c r="Q56" s="90">
        <f t="shared" si="46"/>
        <v>30825000</v>
      </c>
      <c r="R56" s="90">
        <f t="shared" si="4"/>
        <v>507722691</v>
      </c>
    </row>
    <row r="57" spans="1:18" ht="17.100000000000001" customHeight="1" x14ac:dyDescent="0.3">
      <c r="A57" s="278" t="s">
        <v>407</v>
      </c>
      <c r="B57" s="278"/>
      <c r="C57" s="278"/>
      <c r="D57" s="278"/>
      <c r="E57" s="298"/>
      <c r="F57" s="229"/>
      <c r="G57" s="230"/>
      <c r="H57" s="229"/>
      <c r="I57" s="230"/>
      <c r="J57" s="281" t="s">
        <v>410</v>
      </c>
      <c r="K57" s="278"/>
      <c r="L57" s="90"/>
      <c r="M57" s="90"/>
      <c r="N57" s="90"/>
      <c r="O57" s="90"/>
      <c r="P57" s="90">
        <f t="shared" si="3"/>
        <v>0</v>
      </c>
      <c r="Q57" s="90"/>
      <c r="R57" s="90">
        <f t="shared" si="4"/>
        <v>0</v>
      </c>
    </row>
    <row r="58" spans="1:18" ht="17.100000000000001" customHeight="1" x14ac:dyDescent="0.25">
      <c r="A58" s="269" t="s">
        <v>20</v>
      </c>
      <c r="B58" s="93" t="s">
        <v>225</v>
      </c>
      <c r="C58" s="97"/>
      <c r="D58" s="97"/>
      <c r="E58" s="99"/>
      <c r="F58" s="99"/>
      <c r="G58" s="99"/>
      <c r="H58" s="99"/>
      <c r="I58" s="99"/>
      <c r="J58" s="271" t="s">
        <v>20</v>
      </c>
      <c r="K58" s="93" t="s">
        <v>225</v>
      </c>
      <c r="L58" s="90"/>
      <c r="M58" s="90"/>
      <c r="N58" s="90"/>
      <c r="O58" s="90"/>
      <c r="P58" s="90">
        <f t="shared" si="3"/>
        <v>0</v>
      </c>
      <c r="Q58" s="90"/>
      <c r="R58" s="90">
        <f t="shared" si="4"/>
        <v>0</v>
      </c>
    </row>
    <row r="59" spans="1:18" ht="17.100000000000001" customHeight="1" x14ac:dyDescent="0.25">
      <c r="A59" s="277"/>
      <c r="B59" s="100" t="s">
        <v>90</v>
      </c>
      <c r="C59" s="77"/>
      <c r="D59" s="77"/>
      <c r="E59" s="78"/>
      <c r="F59" s="78"/>
      <c r="G59" s="78">
        <f t="shared" si="1"/>
        <v>0</v>
      </c>
      <c r="H59" s="78"/>
      <c r="I59" s="78">
        <f t="shared" ref="I59:I61" si="47">G59+H59</f>
        <v>0</v>
      </c>
      <c r="J59" s="272"/>
      <c r="K59" s="100" t="s">
        <v>248</v>
      </c>
      <c r="L59" s="77"/>
      <c r="M59" s="77"/>
      <c r="N59" s="77"/>
      <c r="O59" s="77"/>
      <c r="P59" s="77">
        <f t="shared" si="3"/>
        <v>0</v>
      </c>
      <c r="Q59" s="77"/>
      <c r="R59" s="77">
        <f t="shared" si="4"/>
        <v>0</v>
      </c>
    </row>
    <row r="60" spans="1:18" ht="17.100000000000001" customHeight="1" x14ac:dyDescent="0.25">
      <c r="A60" s="277"/>
      <c r="B60" s="100" t="s">
        <v>406</v>
      </c>
      <c r="C60" s="77"/>
      <c r="D60" s="77"/>
      <c r="E60" s="78"/>
      <c r="F60" s="78"/>
      <c r="G60" s="78">
        <f t="shared" si="1"/>
        <v>0</v>
      </c>
      <c r="H60" s="78"/>
      <c r="I60" s="78">
        <f t="shared" si="47"/>
        <v>0</v>
      </c>
      <c r="J60" s="272"/>
      <c r="K60" s="93"/>
      <c r="L60" s="91"/>
      <c r="M60" s="91"/>
      <c r="N60" s="91"/>
      <c r="O60" s="91"/>
      <c r="P60" s="91">
        <f t="shared" si="3"/>
        <v>0</v>
      </c>
      <c r="Q60" s="91"/>
      <c r="R60" s="91">
        <f t="shared" si="4"/>
        <v>0</v>
      </c>
    </row>
    <row r="61" spans="1:18" ht="17.100000000000001" customHeight="1" x14ac:dyDescent="0.25">
      <c r="A61" s="277"/>
      <c r="B61" s="100" t="s">
        <v>94</v>
      </c>
      <c r="C61" s="77">
        <v>523586056</v>
      </c>
      <c r="D61" s="77">
        <v>161847830</v>
      </c>
      <c r="E61" s="78">
        <v>300354500</v>
      </c>
      <c r="F61" s="78"/>
      <c r="G61" s="78">
        <f t="shared" si="1"/>
        <v>300354500</v>
      </c>
      <c r="H61" s="78"/>
      <c r="I61" s="78">
        <f t="shared" si="47"/>
        <v>300354500</v>
      </c>
      <c r="J61" s="272"/>
      <c r="K61" s="80"/>
      <c r="L61" s="77"/>
      <c r="M61" s="77"/>
      <c r="N61" s="77"/>
      <c r="O61" s="77"/>
      <c r="P61" s="77">
        <f t="shared" si="3"/>
        <v>0</v>
      </c>
      <c r="Q61" s="77"/>
      <c r="R61" s="77">
        <f t="shared" si="4"/>
        <v>0</v>
      </c>
    </row>
    <row r="62" spans="1:18" s="7" customFormat="1" ht="17.100000000000001" customHeight="1" x14ac:dyDescent="0.3">
      <c r="A62" s="270"/>
      <c r="B62" s="233" t="s">
        <v>226</v>
      </c>
      <c r="C62" s="94">
        <f>SUM(C59:C61)</f>
        <v>523586056</v>
      </c>
      <c r="D62" s="94">
        <f>SUM(D59:D61)</f>
        <v>161847830</v>
      </c>
      <c r="E62" s="95">
        <f>SUM(E59:E61)</f>
        <v>300354500</v>
      </c>
      <c r="F62" s="95">
        <f t="shared" ref="F62:G62" si="48">SUM(F59:F61)</f>
        <v>0</v>
      </c>
      <c r="G62" s="95">
        <f t="shared" si="48"/>
        <v>300354500</v>
      </c>
      <c r="H62" s="95">
        <f t="shared" ref="H62:I62" si="49">SUM(H59:H61)</f>
        <v>0</v>
      </c>
      <c r="I62" s="95">
        <f t="shared" si="49"/>
        <v>300354500</v>
      </c>
      <c r="J62" s="273"/>
      <c r="K62" s="233" t="s">
        <v>226</v>
      </c>
      <c r="L62" s="90">
        <f>SUM(L58:L61)</f>
        <v>0</v>
      </c>
      <c r="M62" s="90">
        <f>SUM(M58:M61)</f>
        <v>0</v>
      </c>
      <c r="N62" s="90">
        <f>SUM(N58:N61)</f>
        <v>0</v>
      </c>
      <c r="O62" s="90">
        <f t="shared" ref="O62:Q62" si="50">SUM(O58:O61)</f>
        <v>0</v>
      </c>
      <c r="P62" s="90">
        <f t="shared" si="3"/>
        <v>0</v>
      </c>
      <c r="Q62" s="90">
        <f t="shared" si="50"/>
        <v>0</v>
      </c>
      <c r="R62" s="90">
        <f t="shared" si="4"/>
        <v>0</v>
      </c>
    </row>
    <row r="63" spans="1:18" ht="17.100000000000001" customHeight="1" x14ac:dyDescent="0.25">
      <c r="A63" s="269" t="s">
        <v>21</v>
      </c>
      <c r="B63" s="233" t="s">
        <v>227</v>
      </c>
      <c r="C63" s="90"/>
      <c r="D63" s="90"/>
      <c r="E63" s="96"/>
      <c r="F63" s="96"/>
      <c r="G63" s="96">
        <f t="shared" si="1"/>
        <v>0</v>
      </c>
      <c r="H63" s="96"/>
      <c r="I63" s="96">
        <f t="shared" ref="I63:I66" si="51">G63+H63</f>
        <v>0</v>
      </c>
      <c r="J63" s="271" t="s">
        <v>21</v>
      </c>
      <c r="K63" s="233" t="s">
        <v>227</v>
      </c>
      <c r="L63" s="90"/>
      <c r="M63" s="90"/>
      <c r="N63" s="90"/>
      <c r="O63" s="90"/>
      <c r="P63" s="90">
        <f t="shared" si="3"/>
        <v>0</v>
      </c>
      <c r="Q63" s="90"/>
      <c r="R63" s="90">
        <f t="shared" si="4"/>
        <v>0</v>
      </c>
    </row>
    <row r="64" spans="1:18" ht="17.100000000000001" customHeight="1" x14ac:dyDescent="0.25">
      <c r="A64" s="270"/>
      <c r="B64" s="101" t="s">
        <v>94</v>
      </c>
      <c r="C64" s="83"/>
      <c r="D64" s="83"/>
      <c r="E64" s="84"/>
      <c r="F64" s="84"/>
      <c r="G64" s="84">
        <f t="shared" si="1"/>
        <v>0</v>
      </c>
      <c r="H64" s="84"/>
      <c r="I64" s="84">
        <f t="shared" si="51"/>
        <v>0</v>
      </c>
      <c r="J64" s="273"/>
      <c r="K64" s="233"/>
      <c r="L64" s="77"/>
      <c r="M64" s="77"/>
      <c r="N64" s="77">
        <v>0</v>
      </c>
      <c r="O64" s="77">
        <v>0</v>
      </c>
      <c r="P64" s="77">
        <f t="shared" si="3"/>
        <v>0</v>
      </c>
      <c r="Q64" s="77">
        <v>0</v>
      </c>
      <c r="R64" s="77">
        <f t="shared" si="4"/>
        <v>0</v>
      </c>
    </row>
    <row r="65" spans="1:260" ht="17.100000000000001" customHeight="1" x14ac:dyDescent="0.25">
      <c r="A65" s="269" t="s">
        <v>22</v>
      </c>
      <c r="B65" s="233" t="s">
        <v>346</v>
      </c>
      <c r="C65" s="90"/>
      <c r="D65" s="90"/>
      <c r="E65" s="96"/>
      <c r="F65" s="96"/>
      <c r="G65" s="96">
        <f t="shared" si="1"/>
        <v>0</v>
      </c>
      <c r="H65" s="96"/>
      <c r="I65" s="96">
        <f t="shared" si="51"/>
        <v>0</v>
      </c>
      <c r="J65" s="271" t="s">
        <v>22</v>
      </c>
      <c r="K65" s="233" t="s">
        <v>346</v>
      </c>
      <c r="L65" s="90"/>
      <c r="M65" s="90"/>
      <c r="N65" s="90"/>
      <c r="O65" s="90"/>
      <c r="P65" s="90">
        <f t="shared" si="3"/>
        <v>0</v>
      </c>
      <c r="Q65" s="90"/>
      <c r="R65" s="90">
        <f t="shared" si="4"/>
        <v>0</v>
      </c>
    </row>
    <row r="66" spans="1:260" ht="17.100000000000001" customHeight="1" x14ac:dyDescent="0.25">
      <c r="A66" s="270"/>
      <c r="B66" s="101" t="s">
        <v>94</v>
      </c>
      <c r="C66" s="83"/>
      <c r="D66" s="83"/>
      <c r="E66" s="84"/>
      <c r="F66" s="84"/>
      <c r="G66" s="84">
        <f t="shared" si="1"/>
        <v>0</v>
      </c>
      <c r="H66" s="84"/>
      <c r="I66" s="84">
        <f t="shared" si="51"/>
        <v>0</v>
      </c>
      <c r="J66" s="273"/>
      <c r="K66" s="233"/>
      <c r="L66" s="77"/>
      <c r="M66" s="77"/>
      <c r="N66" s="77"/>
      <c r="O66" s="77"/>
      <c r="P66" s="77">
        <f t="shared" si="3"/>
        <v>0</v>
      </c>
      <c r="Q66" s="77"/>
      <c r="R66" s="77">
        <f t="shared" si="4"/>
        <v>0</v>
      </c>
    </row>
    <row r="67" spans="1:260" ht="17.100000000000001" customHeight="1" x14ac:dyDescent="0.25">
      <c r="A67" s="278" t="s">
        <v>231</v>
      </c>
      <c r="B67" s="278"/>
      <c r="C67" s="88">
        <f>C62+C64+C66</f>
        <v>523586056</v>
      </c>
      <c r="D67" s="88">
        <f>D62+D64+D66</f>
        <v>161847830</v>
      </c>
      <c r="E67" s="89">
        <f>E62+E64+E66</f>
        <v>300354500</v>
      </c>
      <c r="F67" s="89">
        <f t="shared" ref="F67:G67" si="52">F62+F64+F66</f>
        <v>0</v>
      </c>
      <c r="G67" s="89">
        <f t="shared" si="52"/>
        <v>300354500</v>
      </c>
      <c r="H67" s="89">
        <f t="shared" ref="H67:I67" si="53">H62+H64+H66</f>
        <v>0</v>
      </c>
      <c r="I67" s="89">
        <f t="shared" si="53"/>
        <v>300354500</v>
      </c>
      <c r="J67" s="281" t="s">
        <v>232</v>
      </c>
      <c r="K67" s="278"/>
      <c r="L67" s="90">
        <f>L62+L64+L66</f>
        <v>0</v>
      </c>
      <c r="M67" s="90">
        <f>M62+M64+M66</f>
        <v>0</v>
      </c>
      <c r="N67" s="90">
        <f>N62+N64+N66</f>
        <v>0</v>
      </c>
      <c r="O67" s="90">
        <f t="shared" ref="O67:Q67" si="54">O62+O64+O66</f>
        <v>0</v>
      </c>
      <c r="P67" s="90">
        <f t="shared" si="3"/>
        <v>0</v>
      </c>
      <c r="Q67" s="90">
        <f t="shared" si="54"/>
        <v>0</v>
      </c>
      <c r="R67" s="90">
        <f t="shared" si="4"/>
        <v>0</v>
      </c>
    </row>
    <row r="68" spans="1:260" s="231" customFormat="1" ht="17.100000000000001" customHeight="1" x14ac:dyDescent="0.3">
      <c r="A68" s="296" t="s">
        <v>416</v>
      </c>
      <c r="B68" s="296"/>
      <c r="C68" s="68">
        <f>C56+C67</f>
        <v>755814056</v>
      </c>
      <c r="D68" s="68">
        <f>D56+D67</f>
        <v>352791444</v>
      </c>
      <c r="E68" s="69">
        <f>E56+E67</f>
        <v>420842000</v>
      </c>
      <c r="F68" s="69">
        <f t="shared" ref="F68:G68" si="55">F56+F67</f>
        <v>46023207</v>
      </c>
      <c r="G68" s="69">
        <f t="shared" si="55"/>
        <v>466865207</v>
      </c>
      <c r="H68" s="69">
        <f t="shared" ref="H68:I68" si="56">H56+H67</f>
        <v>0</v>
      </c>
      <c r="I68" s="69">
        <f t="shared" si="56"/>
        <v>466865207</v>
      </c>
      <c r="J68" s="297" t="s">
        <v>422</v>
      </c>
      <c r="K68" s="296"/>
      <c r="L68" s="66">
        <f>L56+L67</f>
        <v>626660520</v>
      </c>
      <c r="M68" s="66">
        <f>M56+M67</f>
        <v>299968308</v>
      </c>
      <c r="N68" s="66">
        <f>N56+N67</f>
        <v>420842000</v>
      </c>
      <c r="O68" s="66">
        <f t="shared" ref="O68:Q68" si="57">O56+O67</f>
        <v>56055691</v>
      </c>
      <c r="P68" s="66">
        <f t="shared" si="3"/>
        <v>476897691</v>
      </c>
      <c r="Q68" s="66">
        <f t="shared" si="57"/>
        <v>30825000</v>
      </c>
      <c r="R68" s="66">
        <f t="shared" si="4"/>
        <v>507722691</v>
      </c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</row>
    <row r="69" spans="1:260" ht="33" customHeight="1" x14ac:dyDescent="0.25">
      <c r="A69" s="293" t="s">
        <v>394</v>
      </c>
      <c r="B69" s="293"/>
      <c r="C69" s="68">
        <f>C38+C68</f>
        <v>1510023950</v>
      </c>
      <c r="D69" s="68">
        <f>D38+D68</f>
        <v>1502478714</v>
      </c>
      <c r="E69" s="69">
        <f>E38+E68</f>
        <v>1278765011</v>
      </c>
      <c r="F69" s="69">
        <f t="shared" ref="F69:G69" si="58">F38+F68</f>
        <v>65854144</v>
      </c>
      <c r="G69" s="69">
        <f t="shared" si="58"/>
        <v>1344619155</v>
      </c>
      <c r="H69" s="69">
        <f t="shared" ref="H69:I69" si="59">H38+H68</f>
        <v>102795820</v>
      </c>
      <c r="I69" s="69">
        <f t="shared" si="59"/>
        <v>1447414975</v>
      </c>
      <c r="J69" s="294" t="s">
        <v>395</v>
      </c>
      <c r="K69" s="295"/>
      <c r="L69" s="68">
        <f>L38+L68</f>
        <v>1510023950</v>
      </c>
      <c r="M69" s="68">
        <f>M38+M68</f>
        <v>904652262</v>
      </c>
      <c r="N69" s="68">
        <f>N38+N68</f>
        <v>1278765011</v>
      </c>
      <c r="O69" s="68">
        <f t="shared" ref="O69:Q69" si="60">O38+O68</f>
        <v>65854144</v>
      </c>
      <c r="P69" s="68">
        <f t="shared" si="3"/>
        <v>1344619155</v>
      </c>
      <c r="Q69" s="68">
        <f t="shared" si="60"/>
        <v>102795820</v>
      </c>
      <c r="R69" s="68">
        <f t="shared" si="4"/>
        <v>1447414975</v>
      </c>
    </row>
    <row r="71" spans="1:260" ht="15" customHeight="1" x14ac:dyDescent="0.25">
      <c r="A71" s="232"/>
      <c r="B71" s="8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  <c r="AV71" s="232"/>
      <c r="AW71" s="232"/>
      <c r="AX71" s="232"/>
      <c r="AY71" s="232"/>
      <c r="AZ71" s="232"/>
      <c r="BA71" s="232"/>
      <c r="BB71" s="232"/>
      <c r="BC71" s="232"/>
      <c r="BD71" s="232"/>
      <c r="BE71" s="232"/>
      <c r="BF71" s="232"/>
      <c r="BG71" s="232"/>
      <c r="BH71" s="232"/>
      <c r="BI71" s="232"/>
      <c r="BJ71" s="232"/>
      <c r="BK71" s="232"/>
      <c r="BL71" s="232"/>
      <c r="BM71" s="232"/>
      <c r="BN71" s="232"/>
      <c r="BO71" s="232"/>
      <c r="BP71" s="232"/>
      <c r="BQ71" s="232"/>
      <c r="BR71" s="232"/>
      <c r="BS71" s="232"/>
      <c r="BT71" s="232"/>
      <c r="BU71" s="232"/>
      <c r="BV71" s="232"/>
      <c r="BW71" s="232" t="s">
        <v>233</v>
      </c>
      <c r="BX71" s="232" t="s">
        <v>233</v>
      </c>
      <c r="BY71" s="232" t="s">
        <v>233</v>
      </c>
      <c r="BZ71" s="232" t="s">
        <v>233</v>
      </c>
      <c r="CA71" s="232" t="s">
        <v>233</v>
      </c>
      <c r="CB71" s="232" t="s">
        <v>233</v>
      </c>
      <c r="CC71" s="232" t="s">
        <v>233</v>
      </c>
      <c r="CD71" s="232" t="s">
        <v>233</v>
      </c>
      <c r="CE71" s="232" t="s">
        <v>233</v>
      </c>
      <c r="CF71" s="232" t="s">
        <v>233</v>
      </c>
      <c r="CG71" s="232" t="s">
        <v>233</v>
      </c>
      <c r="CH71" s="232" t="s">
        <v>233</v>
      </c>
      <c r="CI71" s="232" t="s">
        <v>233</v>
      </c>
      <c r="CJ71" s="232" t="s">
        <v>233</v>
      </c>
      <c r="CK71" s="232" t="s">
        <v>233</v>
      </c>
      <c r="CL71" s="232" t="s">
        <v>233</v>
      </c>
      <c r="CM71" s="232" t="s">
        <v>233</v>
      </c>
      <c r="CN71" s="232" t="s">
        <v>233</v>
      </c>
      <c r="CO71" s="232" t="s">
        <v>233</v>
      </c>
      <c r="CP71" s="232" t="s">
        <v>233</v>
      </c>
      <c r="CQ71" s="232" t="s">
        <v>233</v>
      </c>
      <c r="CR71" s="232" t="s">
        <v>233</v>
      </c>
      <c r="CS71" s="232" t="s">
        <v>233</v>
      </c>
      <c r="CT71" s="232" t="s">
        <v>233</v>
      </c>
      <c r="CU71" s="232" t="s">
        <v>233</v>
      </c>
      <c r="CV71" s="232" t="s">
        <v>233</v>
      </c>
      <c r="CW71" s="232" t="s">
        <v>233</v>
      </c>
      <c r="CX71" s="232" t="s">
        <v>233</v>
      </c>
      <c r="CY71" s="232" t="s">
        <v>233</v>
      </c>
      <c r="CZ71" s="232" t="s">
        <v>233</v>
      </c>
      <c r="DA71" s="232" t="s">
        <v>233</v>
      </c>
      <c r="DB71" s="232" t="s">
        <v>233</v>
      </c>
      <c r="DC71" s="232" t="s">
        <v>233</v>
      </c>
      <c r="DD71" s="232" t="s">
        <v>233</v>
      </c>
      <c r="DE71" s="232" t="s">
        <v>233</v>
      </c>
      <c r="DF71" s="232" t="s">
        <v>233</v>
      </c>
      <c r="DG71" s="232" t="s">
        <v>233</v>
      </c>
      <c r="DH71" s="232" t="s">
        <v>233</v>
      </c>
      <c r="DI71" s="232" t="s">
        <v>233</v>
      </c>
      <c r="DJ71" s="232" t="s">
        <v>233</v>
      </c>
      <c r="DK71" s="232" t="s">
        <v>233</v>
      </c>
      <c r="DL71" s="232" t="s">
        <v>233</v>
      </c>
      <c r="DM71" s="232" t="s">
        <v>233</v>
      </c>
      <c r="DN71" s="232" t="s">
        <v>233</v>
      </c>
      <c r="DO71" s="232" t="s">
        <v>233</v>
      </c>
      <c r="DP71" s="232" t="s">
        <v>233</v>
      </c>
      <c r="DQ71" s="232" t="s">
        <v>233</v>
      </c>
      <c r="DR71" s="232" t="s">
        <v>233</v>
      </c>
      <c r="DS71" s="232" t="s">
        <v>233</v>
      </c>
      <c r="DT71" s="232" t="s">
        <v>233</v>
      </c>
      <c r="DU71" s="232" t="s">
        <v>233</v>
      </c>
      <c r="DV71" s="232" t="s">
        <v>233</v>
      </c>
      <c r="DW71" s="232" t="s">
        <v>233</v>
      </c>
      <c r="DX71" s="232" t="s">
        <v>233</v>
      </c>
      <c r="DY71" s="232" t="s">
        <v>233</v>
      </c>
      <c r="DZ71" s="232" t="s">
        <v>233</v>
      </c>
      <c r="EA71" s="232" t="s">
        <v>233</v>
      </c>
      <c r="EB71" s="232" t="s">
        <v>233</v>
      </c>
      <c r="EC71" s="232" t="s">
        <v>233</v>
      </c>
      <c r="ED71" s="232" t="s">
        <v>233</v>
      </c>
      <c r="EE71" s="232" t="s">
        <v>233</v>
      </c>
      <c r="EF71" s="232" t="s">
        <v>233</v>
      </c>
      <c r="EG71" s="232" t="s">
        <v>233</v>
      </c>
      <c r="EH71" s="232" t="s">
        <v>233</v>
      </c>
      <c r="EI71" s="232" t="s">
        <v>233</v>
      </c>
      <c r="EJ71" s="232" t="s">
        <v>233</v>
      </c>
      <c r="EK71" s="232" t="s">
        <v>233</v>
      </c>
      <c r="EL71" s="232" t="s">
        <v>233</v>
      </c>
      <c r="EM71" s="232" t="s">
        <v>233</v>
      </c>
      <c r="EN71" s="232" t="s">
        <v>233</v>
      </c>
      <c r="EO71" s="232" t="s">
        <v>233</v>
      </c>
      <c r="EP71" s="232" t="s">
        <v>233</v>
      </c>
      <c r="EQ71" s="232" t="s">
        <v>233</v>
      </c>
      <c r="ER71" s="232" t="s">
        <v>233</v>
      </c>
      <c r="ES71" s="232" t="s">
        <v>233</v>
      </c>
      <c r="ET71" s="232" t="s">
        <v>233</v>
      </c>
      <c r="EU71" s="232" t="s">
        <v>233</v>
      </c>
      <c r="EV71" s="232" t="s">
        <v>233</v>
      </c>
      <c r="EW71" s="232" t="s">
        <v>233</v>
      </c>
      <c r="EX71" s="232" t="s">
        <v>233</v>
      </c>
      <c r="EY71" s="232" t="s">
        <v>233</v>
      </c>
      <c r="EZ71" s="232" t="s">
        <v>233</v>
      </c>
      <c r="FA71" s="232" t="s">
        <v>233</v>
      </c>
      <c r="FB71" s="232" t="s">
        <v>233</v>
      </c>
      <c r="FC71" s="232" t="s">
        <v>233</v>
      </c>
      <c r="FD71" s="232" t="s">
        <v>233</v>
      </c>
      <c r="FE71" s="232" t="s">
        <v>233</v>
      </c>
      <c r="FF71" s="232" t="s">
        <v>233</v>
      </c>
      <c r="FG71" s="232" t="s">
        <v>233</v>
      </c>
      <c r="FH71" s="232" t="s">
        <v>233</v>
      </c>
      <c r="FI71" s="232" t="s">
        <v>233</v>
      </c>
      <c r="FJ71" s="232" t="s">
        <v>233</v>
      </c>
      <c r="FK71" s="232" t="s">
        <v>233</v>
      </c>
      <c r="FL71" s="232" t="s">
        <v>233</v>
      </c>
      <c r="FM71" s="232" t="s">
        <v>233</v>
      </c>
      <c r="FN71" s="232" t="s">
        <v>233</v>
      </c>
      <c r="FO71" s="232" t="s">
        <v>233</v>
      </c>
      <c r="FP71" s="232" t="s">
        <v>233</v>
      </c>
      <c r="FQ71" s="232" t="s">
        <v>233</v>
      </c>
      <c r="FR71" s="232" t="s">
        <v>233</v>
      </c>
      <c r="FS71" s="232" t="s">
        <v>233</v>
      </c>
      <c r="FT71" s="232" t="s">
        <v>233</v>
      </c>
      <c r="FU71" s="232" t="s">
        <v>233</v>
      </c>
      <c r="FV71" s="232" t="s">
        <v>233</v>
      </c>
      <c r="FW71" s="232" t="s">
        <v>233</v>
      </c>
      <c r="FX71" s="232" t="s">
        <v>233</v>
      </c>
      <c r="FY71" s="232" t="s">
        <v>233</v>
      </c>
      <c r="FZ71" s="232" t="s">
        <v>233</v>
      </c>
      <c r="GA71" s="232" t="s">
        <v>233</v>
      </c>
      <c r="GB71" s="232" t="s">
        <v>233</v>
      </c>
      <c r="GC71" s="232" t="s">
        <v>233</v>
      </c>
      <c r="GD71" s="232" t="s">
        <v>233</v>
      </c>
      <c r="GE71" s="232" t="s">
        <v>233</v>
      </c>
      <c r="GF71" s="232" t="s">
        <v>233</v>
      </c>
      <c r="GG71" s="232" t="s">
        <v>233</v>
      </c>
      <c r="GH71" s="232" t="s">
        <v>233</v>
      </c>
      <c r="GI71" s="232" t="s">
        <v>233</v>
      </c>
      <c r="GJ71" s="232" t="s">
        <v>233</v>
      </c>
      <c r="GK71" s="232" t="s">
        <v>233</v>
      </c>
      <c r="GL71" s="232" t="s">
        <v>233</v>
      </c>
      <c r="GM71" s="232" t="s">
        <v>233</v>
      </c>
      <c r="GN71" s="232" t="s">
        <v>233</v>
      </c>
      <c r="GO71" s="232" t="s">
        <v>233</v>
      </c>
      <c r="GP71" s="232" t="s">
        <v>233</v>
      </c>
      <c r="GQ71" s="232" t="s">
        <v>233</v>
      </c>
      <c r="GR71" s="232" t="s">
        <v>233</v>
      </c>
      <c r="GS71" s="232" t="s">
        <v>233</v>
      </c>
      <c r="GT71" s="232" t="s">
        <v>233</v>
      </c>
      <c r="GU71" s="232" t="s">
        <v>233</v>
      </c>
      <c r="GV71" s="232" t="s">
        <v>233</v>
      </c>
      <c r="GW71" s="232" t="s">
        <v>233</v>
      </c>
      <c r="GX71" s="232" t="s">
        <v>233</v>
      </c>
      <c r="GY71" s="232" t="s">
        <v>233</v>
      </c>
      <c r="GZ71" s="232" t="s">
        <v>233</v>
      </c>
      <c r="HA71" s="232" t="s">
        <v>233</v>
      </c>
      <c r="HB71" s="232" t="s">
        <v>233</v>
      </c>
      <c r="HC71" s="232" t="s">
        <v>233</v>
      </c>
      <c r="HD71" s="232" t="s">
        <v>233</v>
      </c>
      <c r="HE71" s="232" t="s">
        <v>233</v>
      </c>
      <c r="HF71" s="232" t="s">
        <v>233</v>
      </c>
      <c r="HG71" s="232" t="s">
        <v>233</v>
      </c>
      <c r="HH71" s="232" t="s">
        <v>233</v>
      </c>
      <c r="HI71" s="232" t="s">
        <v>233</v>
      </c>
      <c r="HJ71" s="232" t="s">
        <v>233</v>
      </c>
      <c r="HK71" s="232" t="s">
        <v>233</v>
      </c>
      <c r="HL71" s="232" t="s">
        <v>233</v>
      </c>
      <c r="HM71" s="232" t="s">
        <v>233</v>
      </c>
      <c r="HN71" s="232" t="s">
        <v>233</v>
      </c>
      <c r="HO71" s="232" t="s">
        <v>233</v>
      </c>
      <c r="HP71" s="232" t="s">
        <v>233</v>
      </c>
      <c r="HQ71" s="232" t="s">
        <v>233</v>
      </c>
      <c r="HR71" s="232" t="s">
        <v>233</v>
      </c>
      <c r="HS71" s="232" t="s">
        <v>233</v>
      </c>
      <c r="HT71" s="232" t="s">
        <v>233</v>
      </c>
      <c r="HU71" s="232" t="s">
        <v>233</v>
      </c>
      <c r="HV71" s="232" t="s">
        <v>233</v>
      </c>
      <c r="HW71" s="232" t="s">
        <v>233</v>
      </c>
      <c r="HX71" s="232" t="s">
        <v>233</v>
      </c>
      <c r="HY71" s="232" t="s">
        <v>233</v>
      </c>
      <c r="HZ71" s="232" t="s">
        <v>233</v>
      </c>
      <c r="IA71" s="232" t="s">
        <v>233</v>
      </c>
      <c r="IB71" s="232" t="s">
        <v>233</v>
      </c>
      <c r="IC71" s="232" t="s">
        <v>233</v>
      </c>
      <c r="ID71" s="232" t="s">
        <v>233</v>
      </c>
      <c r="IE71" s="232" t="s">
        <v>233</v>
      </c>
      <c r="IF71" s="232" t="s">
        <v>233</v>
      </c>
      <c r="IG71" s="232" t="s">
        <v>233</v>
      </c>
      <c r="IH71" s="232" t="s">
        <v>233</v>
      </c>
      <c r="II71" s="232" t="s">
        <v>233</v>
      </c>
      <c r="IJ71" s="232" t="s">
        <v>233</v>
      </c>
      <c r="IK71" s="232" t="s">
        <v>233</v>
      </c>
      <c r="IL71" s="232" t="s">
        <v>233</v>
      </c>
      <c r="IM71" s="232" t="s">
        <v>233</v>
      </c>
      <c r="IN71" s="232" t="s">
        <v>233</v>
      </c>
      <c r="IO71" s="232" t="s">
        <v>233</v>
      </c>
      <c r="IP71" s="232" t="s">
        <v>233</v>
      </c>
      <c r="IQ71" s="232" t="s">
        <v>233</v>
      </c>
      <c r="IR71" s="232" t="s">
        <v>233</v>
      </c>
      <c r="IS71" s="232" t="s">
        <v>233</v>
      </c>
      <c r="IT71" s="232" t="s">
        <v>233</v>
      </c>
      <c r="IU71" s="232" t="s">
        <v>233</v>
      </c>
      <c r="IV71" s="232" t="s">
        <v>233</v>
      </c>
      <c r="IW71" s="232" t="s">
        <v>233</v>
      </c>
      <c r="IX71" s="232" t="s">
        <v>233</v>
      </c>
      <c r="IY71" s="232" t="s">
        <v>233</v>
      </c>
      <c r="IZ71" s="232" t="s">
        <v>233</v>
      </c>
    </row>
    <row r="72" spans="1:260" x14ac:dyDescent="0.25">
      <c r="C72" s="109"/>
      <c r="D72" s="109"/>
      <c r="E72" s="109"/>
      <c r="F72" s="109"/>
      <c r="G72" s="109"/>
      <c r="H72" s="109"/>
      <c r="I72" s="109"/>
      <c r="L72" s="109"/>
      <c r="M72" s="109"/>
      <c r="N72" s="109"/>
      <c r="O72" s="109"/>
      <c r="P72" s="109"/>
      <c r="Q72" s="109"/>
      <c r="R72" s="109"/>
    </row>
    <row r="73" spans="1:260" x14ac:dyDescent="0.25">
      <c r="C73" s="109"/>
      <c r="D73" s="109"/>
      <c r="E73" s="109"/>
      <c r="F73" s="109"/>
      <c r="G73" s="109"/>
      <c r="H73" s="109"/>
      <c r="I73" s="109"/>
      <c r="L73" s="109"/>
      <c r="M73" s="109"/>
      <c r="N73" s="109"/>
      <c r="O73" s="109"/>
      <c r="P73" s="109"/>
      <c r="Q73" s="109"/>
      <c r="R73" s="109"/>
    </row>
    <row r="74" spans="1:260" x14ac:dyDescent="0.25">
      <c r="C74" s="109"/>
      <c r="D74" s="109"/>
      <c r="E74" s="109"/>
      <c r="F74" s="109"/>
      <c r="G74" s="109"/>
      <c r="H74" s="109"/>
      <c r="I74" s="109"/>
      <c r="L74" s="109"/>
      <c r="M74" s="109"/>
      <c r="N74" s="109"/>
      <c r="O74" s="109"/>
      <c r="P74" s="109"/>
      <c r="Q74" s="109"/>
      <c r="R74" s="109"/>
    </row>
    <row r="75" spans="1:260" x14ac:dyDescent="0.25">
      <c r="C75" s="109"/>
      <c r="D75" s="109"/>
      <c r="E75" s="109"/>
      <c r="F75" s="109"/>
      <c r="G75" s="109"/>
      <c r="H75" s="109"/>
      <c r="I75" s="109"/>
      <c r="L75" s="109"/>
      <c r="M75" s="109"/>
      <c r="N75" s="109"/>
      <c r="O75" s="109"/>
      <c r="P75" s="109"/>
      <c r="Q75" s="109"/>
      <c r="R75" s="109"/>
    </row>
    <row r="77" spans="1:260" x14ac:dyDescent="0.25">
      <c r="L77" s="109"/>
      <c r="M77" s="109"/>
      <c r="N77" s="109"/>
      <c r="O77" s="109"/>
      <c r="P77" s="109"/>
      <c r="Q77" s="109"/>
      <c r="R77" s="109"/>
    </row>
  </sheetData>
  <mergeCells count="54">
    <mergeCell ref="A40:B40"/>
    <mergeCell ref="J40:K40"/>
    <mergeCell ref="A56:B56"/>
    <mergeCell ref="J56:K56"/>
    <mergeCell ref="A69:B69"/>
    <mergeCell ref="J69:K69"/>
    <mergeCell ref="A67:B67"/>
    <mergeCell ref="J67:K67"/>
    <mergeCell ref="A68:B68"/>
    <mergeCell ref="J68:K68"/>
    <mergeCell ref="A57:E57"/>
    <mergeCell ref="J57:K57"/>
    <mergeCell ref="A51:A55"/>
    <mergeCell ref="A41:A45"/>
    <mergeCell ref="A46:A50"/>
    <mergeCell ref="A58:A62"/>
    <mergeCell ref="A2:N2"/>
    <mergeCell ref="A3:N3"/>
    <mergeCell ref="A6:B6"/>
    <mergeCell ref="M6:N6"/>
    <mergeCell ref="A8:E8"/>
    <mergeCell ref="J8:N8"/>
    <mergeCell ref="A4:N4"/>
    <mergeCell ref="A5:B5"/>
    <mergeCell ref="J29:K29"/>
    <mergeCell ref="A37:B37"/>
    <mergeCell ref="J37:K37"/>
    <mergeCell ref="A39:B39"/>
    <mergeCell ref="J39:K39"/>
    <mergeCell ref="A38:B38"/>
    <mergeCell ref="A30:B30"/>
    <mergeCell ref="J30:K30"/>
    <mergeCell ref="A33:A34"/>
    <mergeCell ref="A35:A36"/>
    <mergeCell ref="A31:A32"/>
    <mergeCell ref="J31:J32"/>
    <mergeCell ref="J33:J34"/>
    <mergeCell ref="J35:J36"/>
    <mergeCell ref="A63:A64"/>
    <mergeCell ref="A65:A66"/>
    <mergeCell ref="J9:J16"/>
    <mergeCell ref="J17:J22"/>
    <mergeCell ref="J23:J28"/>
    <mergeCell ref="J38:K38"/>
    <mergeCell ref="J41:J45"/>
    <mergeCell ref="J46:J50"/>
    <mergeCell ref="J51:J55"/>
    <mergeCell ref="J58:J62"/>
    <mergeCell ref="J63:J64"/>
    <mergeCell ref="J65:J66"/>
    <mergeCell ref="A9:A16"/>
    <mergeCell ref="A17:A22"/>
    <mergeCell ref="A23:A28"/>
    <mergeCell ref="A29:B29"/>
  </mergeCells>
  <phoneticPr fontId="49" type="noConversion"/>
  <pageMargins left="0.78740157480314965" right="0.78740157480314965" top="0.78740157480314965" bottom="0.78740157480314965" header="0.27559055118110237" footer="0.19685039370078741"/>
  <pageSetup paperSize="9" scale="32" orientation="portrait" r:id="rId1"/>
  <headerFooter alignWithMargins="0"/>
  <rowBreaks count="1" manualBreakCount="1">
    <brk id="38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N79"/>
  <sheetViews>
    <sheetView zoomScaleNormal="100" workbookViewId="0">
      <selection activeCell="A6" sqref="A6:B6"/>
    </sheetView>
  </sheetViews>
  <sheetFormatPr defaultColWidth="8" defaultRowHeight="13.2" x14ac:dyDescent="0.25"/>
  <cols>
    <col min="1" max="1" width="43" style="179" bestFit="1" customWidth="1"/>
    <col min="2" max="2" width="16.5546875" style="179" bestFit="1" customWidth="1"/>
    <col min="3" max="6" width="16.5546875" style="179" customWidth="1"/>
    <col min="7" max="7" width="54.21875" style="179" bestFit="1" customWidth="1"/>
    <col min="8" max="8" width="16.5546875" style="179" hidden="1" customWidth="1"/>
    <col min="9" max="9" width="54.21875" style="179" hidden="1" customWidth="1"/>
    <col min="10" max="14" width="16.5546875" style="179" bestFit="1" customWidth="1"/>
    <col min="15" max="16384" width="8" style="179"/>
  </cols>
  <sheetData>
    <row r="2" spans="1:14" ht="17.100000000000001" customHeight="1" x14ac:dyDescent="0.35">
      <c r="A2" s="331" t="s">
        <v>433</v>
      </c>
      <c r="B2" s="331"/>
      <c r="C2" s="331"/>
      <c r="D2" s="331"/>
      <c r="E2" s="331"/>
      <c r="F2" s="331"/>
      <c r="G2" s="331"/>
      <c r="H2" s="331"/>
      <c r="I2" s="331"/>
      <c r="J2" s="331"/>
    </row>
    <row r="3" spans="1:14" ht="17.100000000000001" customHeight="1" x14ac:dyDescent="0.35">
      <c r="A3" s="331" t="s">
        <v>437</v>
      </c>
      <c r="B3" s="331"/>
      <c r="C3" s="331"/>
      <c r="D3" s="331"/>
      <c r="E3" s="331"/>
      <c r="F3" s="331"/>
      <c r="G3" s="331"/>
      <c r="H3" s="331"/>
      <c r="I3" s="331"/>
      <c r="J3" s="331"/>
    </row>
    <row r="4" spans="1:14" ht="17.100000000000001" customHeight="1" x14ac:dyDescent="0.35">
      <c r="A4" s="331" t="s">
        <v>327</v>
      </c>
      <c r="B4" s="331"/>
      <c r="C4" s="331"/>
      <c r="D4" s="331"/>
      <c r="E4" s="331"/>
      <c r="F4" s="331"/>
      <c r="G4" s="331"/>
      <c r="H4" s="331"/>
      <c r="I4" s="331"/>
      <c r="J4" s="331"/>
    </row>
    <row r="5" spans="1:14" ht="17.100000000000001" customHeight="1" x14ac:dyDescent="0.3">
      <c r="A5" s="303" t="s">
        <v>572</v>
      </c>
      <c r="B5" s="303"/>
      <c r="C5" s="31"/>
      <c r="D5" s="31"/>
      <c r="E5" s="31"/>
      <c r="F5" s="31"/>
      <c r="G5" s="31"/>
      <c r="H5" s="29"/>
      <c r="I5" s="31"/>
      <c r="J5" s="29"/>
      <c r="K5" s="29"/>
      <c r="L5" s="29"/>
      <c r="M5" s="29"/>
      <c r="N5" s="29"/>
    </row>
    <row r="6" spans="1:14" ht="17.100000000000001" customHeight="1" x14ac:dyDescent="0.3">
      <c r="A6" s="303" t="s">
        <v>560</v>
      </c>
      <c r="B6" s="303"/>
      <c r="C6" s="237"/>
      <c r="D6" s="237"/>
      <c r="E6" s="237"/>
      <c r="F6" s="237"/>
      <c r="G6" s="32"/>
      <c r="H6" s="30" t="s">
        <v>234</v>
      </c>
      <c r="I6" s="32"/>
      <c r="J6" s="30" t="s">
        <v>234</v>
      </c>
      <c r="K6" s="30" t="s">
        <v>234</v>
      </c>
      <c r="L6" s="30" t="s">
        <v>234</v>
      </c>
      <c r="M6" s="30" t="s">
        <v>234</v>
      </c>
      <c r="N6" s="30" t="s">
        <v>234</v>
      </c>
    </row>
    <row r="7" spans="1:14" ht="50.85" customHeight="1" x14ac:dyDescent="0.25">
      <c r="A7" s="74" t="s">
        <v>236</v>
      </c>
      <c r="B7" s="74" t="s">
        <v>480</v>
      </c>
      <c r="C7" s="74" t="s">
        <v>514</v>
      </c>
      <c r="D7" s="74" t="s">
        <v>515</v>
      </c>
      <c r="E7" s="74" t="s">
        <v>533</v>
      </c>
      <c r="F7" s="74" t="s">
        <v>534</v>
      </c>
      <c r="G7" s="74" t="s">
        <v>235</v>
      </c>
      <c r="H7" s="74" t="s">
        <v>495</v>
      </c>
      <c r="I7" s="74" t="s">
        <v>496</v>
      </c>
      <c r="J7" s="74" t="s">
        <v>497</v>
      </c>
      <c r="K7" s="241" t="s">
        <v>514</v>
      </c>
      <c r="L7" s="241" t="s">
        <v>515</v>
      </c>
      <c r="M7" s="241" t="s">
        <v>533</v>
      </c>
      <c r="N7" s="241" t="s">
        <v>534</v>
      </c>
    </row>
    <row r="8" spans="1:14" ht="17.100000000000001" customHeight="1" x14ac:dyDescent="0.3">
      <c r="A8" s="113" t="s">
        <v>319</v>
      </c>
      <c r="B8" s="114">
        <f>J58-B9-B10-B11-B12</f>
        <v>300354500</v>
      </c>
      <c r="C8" s="114">
        <f>17949293-7916809</f>
        <v>10032484</v>
      </c>
      <c r="D8" s="114">
        <f>B8+C8</f>
        <v>310386984</v>
      </c>
      <c r="E8" s="114">
        <f>30825000</f>
        <v>30825000</v>
      </c>
      <c r="F8" s="114">
        <f>D8+E8</f>
        <v>341211984</v>
      </c>
      <c r="G8" s="115" t="s">
        <v>225</v>
      </c>
      <c r="H8" s="114"/>
      <c r="I8" s="115"/>
      <c r="J8" s="114"/>
      <c r="K8" s="114"/>
      <c r="L8" s="114"/>
      <c r="M8" s="114"/>
      <c r="N8" s="114"/>
    </row>
    <row r="9" spans="1:14" ht="17.100000000000001" customHeight="1" x14ac:dyDescent="0.3">
      <c r="A9" s="113" t="s">
        <v>498</v>
      </c>
      <c r="B9" s="114">
        <v>12000000</v>
      </c>
      <c r="C9" s="114"/>
      <c r="D9" s="114">
        <f t="shared" ref="D9:D57" si="0">B9+C9</f>
        <v>12000000</v>
      </c>
      <c r="E9" s="114"/>
      <c r="F9" s="114">
        <f t="shared" ref="F9:F57" si="1">D9+E9</f>
        <v>12000000</v>
      </c>
      <c r="G9" s="113" t="s">
        <v>438</v>
      </c>
      <c r="H9" s="114">
        <v>100000</v>
      </c>
      <c r="I9" s="114">
        <f>H9*0.27</f>
        <v>27000</v>
      </c>
      <c r="J9" s="114">
        <f>H9+I9</f>
        <v>127000</v>
      </c>
      <c r="K9" s="114"/>
      <c r="L9" s="114">
        <f>J9+K9</f>
        <v>127000</v>
      </c>
      <c r="M9" s="114"/>
      <c r="N9" s="114">
        <f>L9+M9</f>
        <v>127000</v>
      </c>
    </row>
    <row r="10" spans="1:14" ht="17.100000000000001" customHeight="1" x14ac:dyDescent="0.3">
      <c r="A10" s="113" t="s">
        <v>439</v>
      </c>
      <c r="B10" s="114">
        <v>66805000</v>
      </c>
      <c r="C10" s="114">
        <v>4859700</v>
      </c>
      <c r="D10" s="114">
        <f t="shared" si="0"/>
        <v>71664700</v>
      </c>
      <c r="E10" s="114"/>
      <c r="F10" s="114">
        <f t="shared" si="1"/>
        <v>71664700</v>
      </c>
      <c r="G10" s="113" t="s">
        <v>499</v>
      </c>
      <c r="H10" s="114">
        <v>400000</v>
      </c>
      <c r="I10" s="114">
        <f t="shared" ref="I10:I11" si="2">H10*0.27</f>
        <v>108000</v>
      </c>
      <c r="J10" s="114">
        <f t="shared" ref="J10:J12" si="3">H10+I10</f>
        <v>508000</v>
      </c>
      <c r="K10" s="114"/>
      <c r="L10" s="114">
        <f t="shared" ref="L10:L58" si="4">J10+K10</f>
        <v>508000</v>
      </c>
      <c r="M10" s="114"/>
      <c r="N10" s="114">
        <f t="shared" ref="N10:N24" si="5">L10+M10</f>
        <v>508000</v>
      </c>
    </row>
    <row r="11" spans="1:14" ht="17.100000000000001" customHeight="1" x14ac:dyDescent="0.3">
      <c r="A11" s="113" t="s">
        <v>500</v>
      </c>
      <c r="B11" s="114">
        <v>24064100</v>
      </c>
      <c r="C11" s="114"/>
      <c r="D11" s="114">
        <f t="shared" si="0"/>
        <v>24064100</v>
      </c>
      <c r="E11" s="114"/>
      <c r="F11" s="114">
        <f t="shared" si="1"/>
        <v>24064100</v>
      </c>
      <c r="G11" s="113" t="s">
        <v>441</v>
      </c>
      <c r="H11" s="114">
        <v>500000</v>
      </c>
      <c r="I11" s="114">
        <f t="shared" si="2"/>
        <v>135000</v>
      </c>
      <c r="J11" s="114">
        <f t="shared" si="3"/>
        <v>635000</v>
      </c>
      <c r="K11" s="114"/>
      <c r="L11" s="114">
        <f t="shared" si="4"/>
        <v>635000</v>
      </c>
      <c r="M11" s="114"/>
      <c r="N11" s="114">
        <f t="shared" si="5"/>
        <v>635000</v>
      </c>
    </row>
    <row r="12" spans="1:14" ht="17.100000000000001" customHeight="1" x14ac:dyDescent="0.3">
      <c r="A12" s="113" t="s">
        <v>501</v>
      </c>
      <c r="B12" s="114">
        <v>17618400</v>
      </c>
      <c r="C12" s="114"/>
      <c r="D12" s="114">
        <f t="shared" si="0"/>
        <v>17618400</v>
      </c>
      <c r="E12" s="114"/>
      <c r="F12" s="114">
        <f t="shared" si="1"/>
        <v>17618400</v>
      </c>
      <c r="G12" s="113" t="s">
        <v>440</v>
      </c>
      <c r="H12" s="114">
        <f>69000</f>
        <v>69000</v>
      </c>
      <c r="I12" s="114"/>
      <c r="J12" s="114">
        <f t="shared" si="3"/>
        <v>69000</v>
      </c>
      <c r="K12" s="114"/>
      <c r="L12" s="114">
        <f t="shared" si="4"/>
        <v>69000</v>
      </c>
      <c r="M12" s="114"/>
      <c r="N12" s="114">
        <f t="shared" si="5"/>
        <v>69000</v>
      </c>
    </row>
    <row r="13" spans="1:14" ht="17.100000000000001" customHeight="1" x14ac:dyDescent="0.3">
      <c r="A13" s="113" t="s">
        <v>523</v>
      </c>
      <c r="B13" s="114"/>
      <c r="C13" s="114">
        <v>11842000</v>
      </c>
      <c r="D13" s="114">
        <f t="shared" si="0"/>
        <v>11842000</v>
      </c>
      <c r="E13" s="114"/>
      <c r="F13" s="114">
        <f t="shared" si="1"/>
        <v>11842000</v>
      </c>
      <c r="G13" s="115" t="s">
        <v>442</v>
      </c>
      <c r="H13" s="119">
        <f>SUM(H9:H12)</f>
        <v>1069000</v>
      </c>
      <c r="I13" s="119">
        <f>SUM(I9:I12)</f>
        <v>270000</v>
      </c>
      <c r="J13" s="119">
        <f>SUM(J9:J12)</f>
        <v>1339000</v>
      </c>
      <c r="K13" s="119">
        <f t="shared" ref="K13:M13" si="6">SUM(K9:K12)</f>
        <v>0</v>
      </c>
      <c r="L13" s="119">
        <f t="shared" si="4"/>
        <v>1339000</v>
      </c>
      <c r="M13" s="119">
        <f t="shared" si="6"/>
        <v>0</v>
      </c>
      <c r="N13" s="119">
        <f t="shared" si="5"/>
        <v>1339000</v>
      </c>
    </row>
    <row r="14" spans="1:14" ht="17.100000000000001" customHeight="1" x14ac:dyDescent="0.3">
      <c r="A14" s="113" t="s">
        <v>524</v>
      </c>
      <c r="B14" s="114"/>
      <c r="C14" s="114">
        <v>29321507</v>
      </c>
      <c r="D14" s="114">
        <f t="shared" si="0"/>
        <v>29321507</v>
      </c>
      <c r="E14" s="114"/>
      <c r="F14" s="114">
        <f t="shared" si="1"/>
        <v>29321507</v>
      </c>
      <c r="G14" s="113" t="s">
        <v>502</v>
      </c>
      <c r="H14" s="114">
        <v>3000000</v>
      </c>
      <c r="I14" s="116"/>
      <c r="J14" s="114">
        <f>H14+I14</f>
        <v>3000000</v>
      </c>
      <c r="K14" s="114"/>
      <c r="L14" s="114">
        <f t="shared" si="4"/>
        <v>3000000</v>
      </c>
      <c r="M14" s="114"/>
      <c r="N14" s="114">
        <f t="shared" si="5"/>
        <v>3000000</v>
      </c>
    </row>
    <row r="15" spans="1:14" s="110" customFormat="1" ht="17.100000000000001" customHeight="1" x14ac:dyDescent="0.3">
      <c r="A15" s="113"/>
      <c r="B15" s="114"/>
      <c r="C15" s="114"/>
      <c r="D15" s="114">
        <f t="shared" si="0"/>
        <v>0</v>
      </c>
      <c r="E15" s="114"/>
      <c r="F15" s="114">
        <f t="shared" si="1"/>
        <v>0</v>
      </c>
      <c r="G15" s="113" t="s">
        <v>503</v>
      </c>
      <c r="H15" s="114">
        <v>12000000</v>
      </c>
      <c r="I15" s="116"/>
      <c r="J15" s="114">
        <f t="shared" ref="J15:J24" si="7">H15+I15</f>
        <v>12000000</v>
      </c>
      <c r="K15" s="114"/>
      <c r="L15" s="114">
        <f t="shared" si="4"/>
        <v>12000000</v>
      </c>
      <c r="M15" s="114"/>
      <c r="N15" s="114">
        <f t="shared" si="5"/>
        <v>12000000</v>
      </c>
    </row>
    <row r="16" spans="1:14" ht="17.100000000000001" customHeight="1" x14ac:dyDescent="0.3">
      <c r="A16" s="113"/>
      <c r="B16" s="114"/>
      <c r="C16" s="114"/>
      <c r="D16" s="114">
        <f t="shared" si="0"/>
        <v>0</v>
      </c>
      <c r="E16" s="114"/>
      <c r="F16" s="114">
        <f t="shared" si="1"/>
        <v>0</v>
      </c>
      <c r="G16" s="113" t="s">
        <v>443</v>
      </c>
      <c r="H16" s="114">
        <v>40000000</v>
      </c>
      <c r="I16" s="116">
        <f>H16*0.27+52000</f>
        <v>10852000</v>
      </c>
      <c r="J16" s="114">
        <f t="shared" si="7"/>
        <v>50852000</v>
      </c>
      <c r="K16" s="114">
        <f>-10000000-7920000</f>
        <v>-17920000</v>
      </c>
      <c r="L16" s="114">
        <f t="shared" si="4"/>
        <v>32932000</v>
      </c>
      <c r="M16" s="114">
        <f>12700000+1700000</f>
        <v>14400000</v>
      </c>
      <c r="N16" s="114">
        <f t="shared" si="5"/>
        <v>47332000</v>
      </c>
    </row>
    <row r="17" spans="1:14" ht="17.100000000000001" customHeight="1" x14ac:dyDescent="0.3">
      <c r="A17" s="113"/>
      <c r="B17" s="114"/>
      <c r="C17" s="114"/>
      <c r="D17" s="114">
        <f t="shared" si="0"/>
        <v>0</v>
      </c>
      <c r="E17" s="114"/>
      <c r="F17" s="114">
        <f t="shared" si="1"/>
        <v>0</v>
      </c>
      <c r="G17" s="113" t="s">
        <v>504</v>
      </c>
      <c r="H17" s="114">
        <v>1200000</v>
      </c>
      <c r="I17" s="116">
        <f t="shared" ref="I17:I24" si="8">H17*0.27</f>
        <v>324000</v>
      </c>
      <c r="J17" s="114">
        <f t="shared" si="7"/>
        <v>1524000</v>
      </c>
      <c r="K17" s="114"/>
      <c r="L17" s="114">
        <f t="shared" si="4"/>
        <v>1524000</v>
      </c>
      <c r="M17" s="114"/>
      <c r="N17" s="114">
        <f t="shared" si="5"/>
        <v>1524000</v>
      </c>
    </row>
    <row r="18" spans="1:14" ht="17.100000000000001" customHeight="1" x14ac:dyDescent="0.3">
      <c r="A18" s="113"/>
      <c r="B18" s="114"/>
      <c r="C18" s="114"/>
      <c r="D18" s="114">
        <f t="shared" si="0"/>
        <v>0</v>
      </c>
      <c r="E18" s="114"/>
      <c r="F18" s="114">
        <f t="shared" si="1"/>
        <v>0</v>
      </c>
      <c r="G18" s="113" t="s">
        <v>447</v>
      </c>
      <c r="H18" s="114">
        <v>10000000</v>
      </c>
      <c r="I18" s="116">
        <f t="shared" si="8"/>
        <v>2700000</v>
      </c>
      <c r="J18" s="114">
        <f t="shared" si="7"/>
        <v>12700000</v>
      </c>
      <c r="K18" s="114"/>
      <c r="L18" s="114">
        <f t="shared" si="4"/>
        <v>12700000</v>
      </c>
      <c r="M18" s="114"/>
      <c r="N18" s="114">
        <f t="shared" si="5"/>
        <v>12700000</v>
      </c>
    </row>
    <row r="19" spans="1:14" ht="17.100000000000001" customHeight="1" x14ac:dyDescent="0.3">
      <c r="A19" s="113"/>
      <c r="B19" s="114"/>
      <c r="C19" s="114"/>
      <c r="D19" s="114">
        <f t="shared" si="0"/>
        <v>0</v>
      </c>
      <c r="E19" s="114"/>
      <c r="F19" s="114">
        <f t="shared" si="1"/>
        <v>0</v>
      </c>
      <c r="G19" s="113" t="s">
        <v>526</v>
      </c>
      <c r="H19" s="114">
        <v>10000000</v>
      </c>
      <c r="I19" s="116">
        <f t="shared" ref="I19" si="9">H19*0.27</f>
        <v>2700000</v>
      </c>
      <c r="J19" s="114"/>
      <c r="K19" s="114">
        <f>9969022+2691639+278-2691639+2692000+190</f>
        <v>12661490</v>
      </c>
      <c r="L19" s="114">
        <f t="shared" ref="L19" si="10">J19+K19</f>
        <v>12661490</v>
      </c>
      <c r="M19" s="114"/>
      <c r="N19" s="114">
        <f t="shared" si="5"/>
        <v>12661490</v>
      </c>
    </row>
    <row r="20" spans="1:14" ht="17.100000000000001" customHeight="1" x14ac:dyDescent="0.3">
      <c r="A20" s="113"/>
      <c r="B20" s="114"/>
      <c r="C20" s="114"/>
      <c r="D20" s="114">
        <f t="shared" si="0"/>
        <v>0</v>
      </c>
      <c r="E20" s="114"/>
      <c r="F20" s="114">
        <f t="shared" si="1"/>
        <v>0</v>
      </c>
      <c r="G20" s="113" t="s">
        <v>444</v>
      </c>
      <c r="H20" s="114">
        <v>130450000</v>
      </c>
      <c r="I20" s="116">
        <v>725000</v>
      </c>
      <c r="J20" s="114">
        <f t="shared" si="7"/>
        <v>131175000</v>
      </c>
      <c r="K20" s="114">
        <f>5319700-2313000</f>
        <v>3006700</v>
      </c>
      <c r="L20" s="114">
        <f t="shared" si="4"/>
        <v>134181700</v>
      </c>
      <c r="M20" s="114"/>
      <c r="N20" s="114">
        <f t="shared" si="5"/>
        <v>134181700</v>
      </c>
    </row>
    <row r="21" spans="1:14" ht="17.100000000000001" customHeight="1" x14ac:dyDescent="0.3">
      <c r="A21" s="113"/>
      <c r="B21" s="114"/>
      <c r="C21" s="114"/>
      <c r="D21" s="114">
        <f t="shared" si="0"/>
        <v>0</v>
      </c>
      <c r="E21" s="114"/>
      <c r="F21" s="114">
        <f t="shared" si="1"/>
        <v>0</v>
      </c>
      <c r="G21" s="113" t="s">
        <v>445</v>
      </c>
      <c r="H21" s="114">
        <v>37522000</v>
      </c>
      <c r="I21" s="116">
        <v>656000</v>
      </c>
      <c r="J21" s="114">
        <f t="shared" si="7"/>
        <v>38178000</v>
      </c>
      <c r="K21" s="114"/>
      <c r="L21" s="114">
        <f t="shared" si="4"/>
        <v>38178000</v>
      </c>
      <c r="M21" s="114"/>
      <c r="N21" s="114">
        <f t="shared" si="5"/>
        <v>38178000</v>
      </c>
    </row>
    <row r="22" spans="1:14" ht="17.100000000000001" customHeight="1" x14ac:dyDescent="0.3">
      <c r="A22" s="113"/>
      <c r="B22" s="114"/>
      <c r="C22" s="114"/>
      <c r="D22" s="114">
        <f t="shared" si="0"/>
        <v>0</v>
      </c>
      <c r="E22" s="114"/>
      <c r="F22" s="114">
        <f t="shared" si="1"/>
        <v>0</v>
      </c>
      <c r="G22" s="113" t="s">
        <v>446</v>
      </c>
      <c r="H22" s="114">
        <v>59405000</v>
      </c>
      <c r="I22" s="116">
        <v>15476000</v>
      </c>
      <c r="J22" s="114">
        <f t="shared" si="7"/>
        <v>74881000</v>
      </c>
      <c r="K22" s="114">
        <f>11706000+3161000</f>
        <v>14867000</v>
      </c>
      <c r="L22" s="114">
        <f t="shared" si="4"/>
        <v>89748000</v>
      </c>
      <c r="M22" s="114"/>
      <c r="N22" s="114">
        <f t="shared" si="5"/>
        <v>89748000</v>
      </c>
    </row>
    <row r="23" spans="1:14" ht="17.100000000000001" customHeight="1" x14ac:dyDescent="0.3">
      <c r="A23" s="113"/>
      <c r="B23" s="114"/>
      <c r="C23" s="114"/>
      <c r="D23" s="114">
        <f t="shared" si="0"/>
        <v>0</v>
      </c>
      <c r="E23" s="114"/>
      <c r="F23" s="114">
        <f t="shared" si="1"/>
        <v>0</v>
      </c>
      <c r="G23" s="113" t="s">
        <v>528</v>
      </c>
      <c r="H23" s="114"/>
      <c r="I23" s="116"/>
      <c r="J23" s="114"/>
      <c r="K23" s="114">
        <f>6446000+1740000</f>
        <v>8186000</v>
      </c>
      <c r="L23" s="114">
        <f t="shared" si="4"/>
        <v>8186000</v>
      </c>
      <c r="M23" s="114"/>
      <c r="N23" s="114">
        <f t="shared" si="5"/>
        <v>8186000</v>
      </c>
    </row>
    <row r="24" spans="1:14" ht="17.100000000000001" customHeight="1" x14ac:dyDescent="0.3">
      <c r="A24" s="113"/>
      <c r="B24" s="114"/>
      <c r="C24" s="114"/>
      <c r="D24" s="114">
        <f t="shared" si="0"/>
        <v>0</v>
      </c>
      <c r="E24" s="114"/>
      <c r="F24" s="114">
        <f t="shared" si="1"/>
        <v>0</v>
      </c>
      <c r="G24" s="114" t="s">
        <v>545</v>
      </c>
      <c r="H24" s="114">
        <f>1500000</f>
        <v>1500000</v>
      </c>
      <c r="I24" s="116">
        <f t="shared" si="8"/>
        <v>405000</v>
      </c>
      <c r="J24" s="114">
        <f t="shared" si="7"/>
        <v>1905000</v>
      </c>
      <c r="K24" s="114"/>
      <c r="L24" s="114">
        <f t="shared" si="4"/>
        <v>1905000</v>
      </c>
      <c r="M24" s="114">
        <v>4445000</v>
      </c>
      <c r="N24" s="114">
        <f t="shared" si="5"/>
        <v>6350000</v>
      </c>
    </row>
    <row r="25" spans="1:14" ht="17.100000000000001" customHeight="1" x14ac:dyDescent="0.3">
      <c r="A25" s="180"/>
      <c r="B25" s="113"/>
      <c r="C25" s="113"/>
      <c r="D25" s="114">
        <f t="shared" si="0"/>
        <v>0</v>
      </c>
      <c r="E25" s="113"/>
      <c r="F25" s="114">
        <f t="shared" si="1"/>
        <v>0</v>
      </c>
      <c r="G25" s="115" t="s">
        <v>448</v>
      </c>
      <c r="H25" s="119">
        <f>SUM(H14:H24)</f>
        <v>305077000</v>
      </c>
      <c r="I25" s="119">
        <f>SUM(I14:I24)</f>
        <v>33838000</v>
      </c>
      <c r="J25" s="119">
        <f>SUM(J14:J24)</f>
        <v>326215000</v>
      </c>
      <c r="K25" s="119">
        <f t="shared" ref="K25:L25" si="11">SUM(K14:K24)</f>
        <v>20801190</v>
      </c>
      <c r="L25" s="119">
        <f t="shared" si="11"/>
        <v>347016190</v>
      </c>
      <c r="M25" s="119">
        <f t="shared" ref="M25:N25" si="12">SUM(M14:M24)</f>
        <v>18845000</v>
      </c>
      <c r="N25" s="119">
        <f t="shared" si="12"/>
        <v>365861190</v>
      </c>
    </row>
    <row r="26" spans="1:14" ht="17.100000000000001" customHeight="1" x14ac:dyDescent="0.3">
      <c r="A26" s="115"/>
      <c r="B26" s="119"/>
      <c r="C26" s="119"/>
      <c r="D26" s="114">
        <f t="shared" si="0"/>
        <v>0</v>
      </c>
      <c r="E26" s="119"/>
      <c r="F26" s="114">
        <f t="shared" si="1"/>
        <v>0</v>
      </c>
      <c r="G26" s="113" t="s">
        <v>449</v>
      </c>
      <c r="H26" s="114">
        <f>600000</f>
        <v>600000</v>
      </c>
      <c r="I26" s="114">
        <f>H26*0.27</f>
        <v>162000</v>
      </c>
      <c r="J26" s="114">
        <f>H26+I26</f>
        <v>762000</v>
      </c>
      <c r="K26" s="114"/>
      <c r="L26" s="114">
        <f t="shared" si="4"/>
        <v>762000</v>
      </c>
      <c r="M26" s="114"/>
      <c r="N26" s="114">
        <f t="shared" ref="N26:N38" si="13">L26+M26</f>
        <v>762000</v>
      </c>
    </row>
    <row r="27" spans="1:14" ht="17.100000000000001" customHeight="1" x14ac:dyDescent="0.3">
      <c r="A27" s="113"/>
      <c r="B27" s="114"/>
      <c r="C27" s="114"/>
      <c r="D27" s="114">
        <f t="shared" si="0"/>
        <v>0</v>
      </c>
      <c r="E27" s="114"/>
      <c r="F27" s="114">
        <f t="shared" si="1"/>
        <v>0</v>
      </c>
      <c r="G27" s="113" t="s">
        <v>450</v>
      </c>
      <c r="H27" s="114">
        <f>346000</f>
        <v>346000</v>
      </c>
      <c r="I27" s="114"/>
      <c r="J27" s="114">
        <f t="shared" ref="J27:J28" si="14">H27+I27</f>
        <v>346000</v>
      </c>
      <c r="K27" s="114"/>
      <c r="L27" s="114">
        <f t="shared" si="4"/>
        <v>346000</v>
      </c>
      <c r="M27" s="114"/>
      <c r="N27" s="114">
        <f t="shared" si="13"/>
        <v>346000</v>
      </c>
    </row>
    <row r="28" spans="1:14" ht="17.100000000000001" customHeight="1" x14ac:dyDescent="0.3">
      <c r="A28" s="113"/>
      <c r="B28" s="114"/>
      <c r="C28" s="114"/>
      <c r="D28" s="114">
        <f t="shared" si="0"/>
        <v>0</v>
      </c>
      <c r="E28" s="114"/>
      <c r="F28" s="114">
        <f t="shared" si="1"/>
        <v>0</v>
      </c>
      <c r="G28" s="113" t="s">
        <v>451</v>
      </c>
      <c r="H28" s="114">
        <f>1000000</f>
        <v>1000000</v>
      </c>
      <c r="I28" s="114">
        <f t="shared" ref="I28" si="15">H28*0.27</f>
        <v>270000</v>
      </c>
      <c r="J28" s="114">
        <f t="shared" si="14"/>
        <v>1270000</v>
      </c>
      <c r="K28" s="114"/>
      <c r="L28" s="114">
        <f t="shared" si="4"/>
        <v>1270000</v>
      </c>
      <c r="M28" s="114"/>
      <c r="N28" s="114">
        <f t="shared" si="13"/>
        <v>1270000</v>
      </c>
    </row>
    <row r="29" spans="1:14" ht="17.100000000000001" customHeight="1" x14ac:dyDescent="0.3">
      <c r="A29" s="113"/>
      <c r="B29" s="114"/>
      <c r="C29" s="114"/>
      <c r="D29" s="114">
        <f t="shared" si="0"/>
        <v>0</v>
      </c>
      <c r="E29" s="114"/>
      <c r="F29" s="114">
        <f t="shared" si="1"/>
        <v>0</v>
      </c>
      <c r="G29" s="115" t="s">
        <v>452</v>
      </c>
      <c r="H29" s="119">
        <f>SUM(H26:H28)</f>
        <v>1946000</v>
      </c>
      <c r="I29" s="119">
        <f>SUM(I26:I28)</f>
        <v>432000</v>
      </c>
      <c r="J29" s="119">
        <f>SUM(J26:J28)</f>
        <v>2378000</v>
      </c>
      <c r="K29" s="119">
        <f t="shared" ref="K29:M29" si="16">SUM(K26:K28)</f>
        <v>0</v>
      </c>
      <c r="L29" s="119">
        <f t="shared" si="4"/>
        <v>2378000</v>
      </c>
      <c r="M29" s="119">
        <f t="shared" si="16"/>
        <v>0</v>
      </c>
      <c r="N29" s="119">
        <f t="shared" si="13"/>
        <v>2378000</v>
      </c>
    </row>
    <row r="30" spans="1:14" ht="17.100000000000001" customHeight="1" x14ac:dyDescent="0.3">
      <c r="A30" s="115"/>
      <c r="B30" s="119"/>
      <c r="C30" s="119"/>
      <c r="D30" s="119">
        <f t="shared" si="0"/>
        <v>0</v>
      </c>
      <c r="E30" s="119"/>
      <c r="F30" s="119">
        <f t="shared" si="1"/>
        <v>0</v>
      </c>
      <c r="G30" s="113" t="s">
        <v>453</v>
      </c>
      <c r="H30" s="114">
        <v>900000</v>
      </c>
      <c r="I30" s="116">
        <f>H30*0.27-27000</f>
        <v>216000.00000000003</v>
      </c>
      <c r="J30" s="114">
        <f>H30+I30</f>
        <v>1116000</v>
      </c>
      <c r="K30" s="114"/>
      <c r="L30" s="114">
        <f t="shared" si="4"/>
        <v>1116000</v>
      </c>
      <c r="M30" s="114"/>
      <c r="N30" s="114">
        <f t="shared" si="13"/>
        <v>1116000</v>
      </c>
    </row>
    <row r="31" spans="1:14" ht="17.100000000000001" customHeight="1" x14ac:dyDescent="0.3">
      <c r="A31" s="113"/>
      <c r="B31" s="114"/>
      <c r="C31" s="114"/>
      <c r="D31" s="114">
        <f t="shared" si="0"/>
        <v>0</v>
      </c>
      <c r="E31" s="114"/>
      <c r="F31" s="114">
        <f t="shared" si="1"/>
        <v>0</v>
      </c>
      <c r="G31" s="113" t="s">
        <v>454</v>
      </c>
      <c r="H31" s="114">
        <f>2000000</f>
        <v>2000000</v>
      </c>
      <c r="I31" s="116">
        <f t="shared" ref="I31:I38" si="17">H31*0.27</f>
        <v>540000</v>
      </c>
      <c r="J31" s="114">
        <f t="shared" ref="J31:J35" si="18">H31+I31</f>
        <v>2540000</v>
      </c>
      <c r="K31" s="114"/>
      <c r="L31" s="114">
        <f t="shared" si="4"/>
        <v>2540000</v>
      </c>
      <c r="M31" s="114"/>
      <c r="N31" s="114">
        <f t="shared" si="13"/>
        <v>2540000</v>
      </c>
    </row>
    <row r="32" spans="1:14" ht="17.100000000000001" customHeight="1" x14ac:dyDescent="0.3">
      <c r="A32" s="113"/>
      <c r="B32" s="114"/>
      <c r="C32" s="114"/>
      <c r="D32" s="114">
        <f t="shared" si="0"/>
        <v>0</v>
      </c>
      <c r="E32" s="114"/>
      <c r="F32" s="114">
        <f t="shared" si="1"/>
        <v>0</v>
      </c>
      <c r="G32" s="113" t="s">
        <v>455</v>
      </c>
      <c r="H32" s="114">
        <f>2000000</f>
        <v>2000000</v>
      </c>
      <c r="I32" s="116">
        <f t="shared" si="17"/>
        <v>540000</v>
      </c>
      <c r="J32" s="114">
        <f t="shared" si="18"/>
        <v>2540000</v>
      </c>
      <c r="K32" s="114">
        <v>952500</v>
      </c>
      <c r="L32" s="114">
        <f t="shared" si="4"/>
        <v>3492500</v>
      </c>
      <c r="M32" s="114">
        <f>2000000+1000000+5000000</f>
        <v>8000000</v>
      </c>
      <c r="N32" s="114">
        <f t="shared" si="13"/>
        <v>11492500</v>
      </c>
    </row>
    <row r="33" spans="1:14" ht="17.100000000000001" customHeight="1" x14ac:dyDescent="0.3">
      <c r="A33" s="113"/>
      <c r="B33" s="114"/>
      <c r="C33" s="114"/>
      <c r="D33" s="114">
        <f t="shared" si="0"/>
        <v>0</v>
      </c>
      <c r="E33" s="114"/>
      <c r="F33" s="114">
        <f t="shared" si="1"/>
        <v>0</v>
      </c>
      <c r="G33" s="113" t="s">
        <v>456</v>
      </c>
      <c r="H33" s="114">
        <v>9000000</v>
      </c>
      <c r="I33" s="116"/>
      <c r="J33" s="114">
        <f t="shared" si="18"/>
        <v>9000000</v>
      </c>
      <c r="K33" s="114">
        <v>2313000</v>
      </c>
      <c r="L33" s="114">
        <f t="shared" si="4"/>
        <v>11313000</v>
      </c>
      <c r="M33" s="114"/>
      <c r="N33" s="114">
        <f t="shared" si="13"/>
        <v>11313000</v>
      </c>
    </row>
    <row r="34" spans="1:14" ht="17.100000000000001" customHeight="1" x14ac:dyDescent="0.3">
      <c r="A34" s="113"/>
      <c r="B34" s="114"/>
      <c r="C34" s="114"/>
      <c r="D34" s="114">
        <f t="shared" si="0"/>
        <v>0</v>
      </c>
      <c r="E34" s="114"/>
      <c r="F34" s="114">
        <f t="shared" si="1"/>
        <v>0</v>
      </c>
      <c r="G34" s="113" t="s">
        <v>457</v>
      </c>
      <c r="H34" s="114">
        <v>200000</v>
      </c>
      <c r="I34" s="116">
        <f t="shared" si="17"/>
        <v>54000</v>
      </c>
      <c r="J34" s="114">
        <f t="shared" si="18"/>
        <v>254000</v>
      </c>
      <c r="K34" s="114"/>
      <c r="L34" s="114">
        <f t="shared" si="4"/>
        <v>254000</v>
      </c>
      <c r="M34" s="114">
        <f>774000</f>
        <v>774000</v>
      </c>
      <c r="N34" s="114">
        <f t="shared" si="13"/>
        <v>1028000</v>
      </c>
    </row>
    <row r="35" spans="1:14" ht="17.100000000000001" customHeight="1" x14ac:dyDescent="0.3">
      <c r="A35" s="113"/>
      <c r="B35" s="114"/>
      <c r="C35" s="114"/>
      <c r="D35" s="114">
        <f t="shared" si="0"/>
        <v>0</v>
      </c>
      <c r="E35" s="114"/>
      <c r="F35" s="114">
        <f t="shared" si="1"/>
        <v>0</v>
      </c>
      <c r="G35" s="113" t="s">
        <v>458</v>
      </c>
      <c r="H35" s="114">
        <v>50000</v>
      </c>
      <c r="I35" s="116">
        <v>13000</v>
      </c>
      <c r="J35" s="114">
        <f t="shared" si="18"/>
        <v>63000</v>
      </c>
      <c r="K35" s="114"/>
      <c r="L35" s="114">
        <f t="shared" si="4"/>
        <v>63000</v>
      </c>
      <c r="M35" s="114"/>
      <c r="N35" s="114">
        <f t="shared" si="13"/>
        <v>63000</v>
      </c>
    </row>
    <row r="36" spans="1:14" ht="17.100000000000001" customHeight="1" x14ac:dyDescent="0.3">
      <c r="A36" s="113"/>
      <c r="B36" s="114"/>
      <c r="C36" s="114"/>
      <c r="D36" s="114">
        <f t="shared" si="0"/>
        <v>0</v>
      </c>
      <c r="E36" s="114"/>
      <c r="F36" s="114">
        <f t="shared" si="1"/>
        <v>0</v>
      </c>
      <c r="G36" s="113" t="s">
        <v>529</v>
      </c>
      <c r="H36" s="114"/>
      <c r="I36" s="116"/>
      <c r="J36" s="114"/>
      <c r="K36" s="114">
        <f>1428000+386000</f>
        <v>1814000</v>
      </c>
      <c r="L36" s="114">
        <f t="shared" si="4"/>
        <v>1814000</v>
      </c>
      <c r="M36" s="114"/>
      <c r="N36" s="114">
        <f t="shared" si="13"/>
        <v>1814000</v>
      </c>
    </row>
    <row r="37" spans="1:14" ht="17.100000000000001" customHeight="1" x14ac:dyDescent="0.3">
      <c r="A37" s="113"/>
      <c r="B37" s="114"/>
      <c r="C37" s="114"/>
      <c r="D37" s="114">
        <f t="shared" si="0"/>
        <v>0</v>
      </c>
      <c r="E37" s="114"/>
      <c r="F37" s="114">
        <f t="shared" si="1"/>
        <v>0</v>
      </c>
      <c r="G37" s="113" t="s">
        <v>459</v>
      </c>
      <c r="H37" s="114">
        <f>5200000</f>
        <v>5200000</v>
      </c>
      <c r="I37" s="116">
        <f t="shared" ref="I37" si="19">H37*0.27</f>
        <v>1404000</v>
      </c>
      <c r="J37" s="114">
        <f t="shared" ref="J37" si="20">H37+I37</f>
        <v>6604000</v>
      </c>
      <c r="K37" s="114"/>
      <c r="L37" s="114">
        <f t="shared" ref="L37" si="21">J37+K37</f>
        <v>6604000</v>
      </c>
      <c r="M37" s="114"/>
      <c r="N37" s="114">
        <f t="shared" si="13"/>
        <v>6604000</v>
      </c>
    </row>
    <row r="38" spans="1:14" ht="17.100000000000001" customHeight="1" x14ac:dyDescent="0.3">
      <c r="A38" s="113"/>
      <c r="B38" s="114"/>
      <c r="C38" s="114"/>
      <c r="D38" s="114">
        <f t="shared" si="0"/>
        <v>0</v>
      </c>
      <c r="E38" s="114"/>
      <c r="F38" s="114">
        <f t="shared" si="1"/>
        <v>0</v>
      </c>
      <c r="G38" s="113" t="s">
        <v>527</v>
      </c>
      <c r="H38" s="114">
        <f>5200000</f>
        <v>5200000</v>
      </c>
      <c r="I38" s="116">
        <f t="shared" si="17"/>
        <v>1404000</v>
      </c>
      <c r="J38" s="114"/>
      <c r="K38" s="114">
        <f>19352484+5225171+466984+126000+532+190-5225171-5228000+1+10455810</f>
        <v>25174001</v>
      </c>
      <c r="L38" s="114">
        <f t="shared" si="4"/>
        <v>25174001</v>
      </c>
      <c r="M38" s="114">
        <f>61000</f>
        <v>61000</v>
      </c>
      <c r="N38" s="114">
        <f t="shared" si="13"/>
        <v>25235001</v>
      </c>
    </row>
    <row r="39" spans="1:14" ht="17.100000000000001" customHeight="1" x14ac:dyDescent="0.3">
      <c r="A39" s="115"/>
      <c r="B39" s="119"/>
      <c r="C39" s="119"/>
      <c r="D39" s="119">
        <f t="shared" si="0"/>
        <v>0</v>
      </c>
      <c r="E39" s="119"/>
      <c r="F39" s="119">
        <f t="shared" si="1"/>
        <v>0</v>
      </c>
      <c r="G39" s="115" t="s">
        <v>460</v>
      </c>
      <c r="H39" s="119">
        <f>SUM(H30:H38)</f>
        <v>24550000</v>
      </c>
      <c r="I39" s="119">
        <f>SUM(I30:I38)</f>
        <v>4171000</v>
      </c>
      <c r="J39" s="119">
        <f>SUM(J30:J38)</f>
        <v>22117000</v>
      </c>
      <c r="K39" s="119">
        <f t="shared" ref="K39:L39" si="22">SUM(K30:K38)</f>
        <v>30253501</v>
      </c>
      <c r="L39" s="119">
        <f t="shared" si="22"/>
        <v>52370501</v>
      </c>
      <c r="M39" s="119">
        <f t="shared" ref="M39:N39" si="23">SUM(M30:M38)</f>
        <v>8835000</v>
      </c>
      <c r="N39" s="119">
        <f t="shared" si="23"/>
        <v>61205501</v>
      </c>
    </row>
    <row r="40" spans="1:14" ht="17.100000000000001" customHeight="1" x14ac:dyDescent="0.3">
      <c r="A40" s="113"/>
      <c r="B40" s="114"/>
      <c r="C40" s="114"/>
      <c r="D40" s="114">
        <f t="shared" si="0"/>
        <v>0</v>
      </c>
      <c r="E40" s="114"/>
      <c r="F40" s="114">
        <f t="shared" si="1"/>
        <v>0</v>
      </c>
      <c r="G40" s="115" t="s">
        <v>461</v>
      </c>
      <c r="H40" s="119">
        <f>H13+H25+H29+H39</f>
        <v>332642000</v>
      </c>
      <c r="I40" s="119">
        <f>I13+I25+I29+I39</f>
        <v>38711000</v>
      </c>
      <c r="J40" s="119">
        <f>J13+J25+J29+J39</f>
        <v>352049000</v>
      </c>
      <c r="K40" s="119">
        <f t="shared" ref="K40:L40" si="24">K13+K25+K29+K39</f>
        <v>51054691</v>
      </c>
      <c r="L40" s="119">
        <f t="shared" si="24"/>
        <v>403103691</v>
      </c>
      <c r="M40" s="119">
        <f t="shared" ref="M40:N40" si="25">M13+M25+M29+M39</f>
        <v>27680000</v>
      </c>
      <c r="N40" s="119">
        <f t="shared" si="25"/>
        <v>430783691</v>
      </c>
    </row>
    <row r="41" spans="1:14" s="110" customFormat="1" ht="17.100000000000001" customHeight="1" x14ac:dyDescent="0.3">
      <c r="A41" s="113"/>
      <c r="B41" s="114"/>
      <c r="C41" s="114"/>
      <c r="D41" s="114">
        <f t="shared" si="0"/>
        <v>0</v>
      </c>
      <c r="E41" s="114"/>
      <c r="F41" s="114">
        <f t="shared" si="1"/>
        <v>0</v>
      </c>
      <c r="G41" s="113" t="s">
        <v>462</v>
      </c>
      <c r="H41" s="114">
        <v>14800000</v>
      </c>
      <c r="I41" s="116">
        <f>H41*0.27</f>
        <v>3996000.0000000005</v>
      </c>
      <c r="J41" s="114">
        <f>H41+I41</f>
        <v>18796000</v>
      </c>
      <c r="K41" s="114"/>
      <c r="L41" s="114">
        <f t="shared" si="4"/>
        <v>18796000</v>
      </c>
      <c r="M41" s="114"/>
      <c r="N41" s="114">
        <f t="shared" ref="N41:N58" si="26">L41+M41</f>
        <v>18796000</v>
      </c>
    </row>
    <row r="42" spans="1:14" ht="17.100000000000001" customHeight="1" x14ac:dyDescent="0.3">
      <c r="A42" s="113"/>
      <c r="B42" s="114"/>
      <c r="C42" s="114"/>
      <c r="D42" s="114">
        <f t="shared" si="0"/>
        <v>0</v>
      </c>
      <c r="E42" s="114"/>
      <c r="F42" s="114">
        <f t="shared" si="1"/>
        <v>0</v>
      </c>
      <c r="G42" s="113" t="s">
        <v>505</v>
      </c>
      <c r="H42" s="114">
        <v>21355000</v>
      </c>
      <c r="I42" s="116">
        <f>H42*0.27+250-100</f>
        <v>5766000</v>
      </c>
      <c r="J42" s="114">
        <f t="shared" ref="J42:J43" si="27">H42+I42</f>
        <v>27121000</v>
      </c>
      <c r="K42" s="114"/>
      <c r="L42" s="114">
        <f t="shared" si="4"/>
        <v>27121000</v>
      </c>
      <c r="M42" s="114"/>
      <c r="N42" s="114">
        <f t="shared" si="26"/>
        <v>27121000</v>
      </c>
    </row>
    <row r="43" spans="1:14" ht="17.100000000000001" customHeight="1" x14ac:dyDescent="0.3">
      <c r="A43" s="113"/>
      <c r="B43" s="114"/>
      <c r="C43" s="114"/>
      <c r="D43" s="114">
        <f t="shared" si="0"/>
        <v>0</v>
      </c>
      <c r="E43" s="114"/>
      <c r="F43" s="114">
        <f t="shared" si="1"/>
        <v>0</v>
      </c>
      <c r="G43" s="113" t="s">
        <v>506</v>
      </c>
      <c r="H43" s="114">
        <v>15614000</v>
      </c>
      <c r="I43" s="116">
        <f>H43*0.27+220</f>
        <v>4216000</v>
      </c>
      <c r="J43" s="114">
        <f t="shared" si="27"/>
        <v>19830000</v>
      </c>
      <c r="K43" s="114"/>
      <c r="L43" s="114">
        <f t="shared" si="4"/>
        <v>19830000</v>
      </c>
      <c r="M43" s="114"/>
      <c r="N43" s="114">
        <f t="shared" si="26"/>
        <v>19830000</v>
      </c>
    </row>
    <row r="44" spans="1:14" ht="17.100000000000001" customHeight="1" x14ac:dyDescent="0.3">
      <c r="A44" s="113"/>
      <c r="B44" s="114"/>
      <c r="C44" s="114"/>
      <c r="D44" s="114">
        <f t="shared" si="0"/>
        <v>0</v>
      </c>
      <c r="E44" s="114"/>
      <c r="F44" s="114">
        <f t="shared" si="1"/>
        <v>0</v>
      </c>
      <c r="G44" s="113" t="s">
        <v>463</v>
      </c>
      <c r="H44" s="114">
        <f>200000</f>
        <v>200000</v>
      </c>
      <c r="I44" s="116">
        <f t="shared" ref="I44" si="28">H44*0.27</f>
        <v>54000</v>
      </c>
      <c r="J44" s="114">
        <f t="shared" ref="J44" si="29">H44+I44</f>
        <v>254000</v>
      </c>
      <c r="K44" s="114"/>
      <c r="L44" s="114">
        <f t="shared" si="4"/>
        <v>254000</v>
      </c>
      <c r="M44" s="114"/>
      <c r="N44" s="114">
        <f t="shared" si="26"/>
        <v>254000</v>
      </c>
    </row>
    <row r="45" spans="1:14" ht="17.100000000000001" customHeight="1" x14ac:dyDescent="0.3">
      <c r="A45" s="113"/>
      <c r="B45" s="114"/>
      <c r="C45" s="114"/>
      <c r="D45" s="114">
        <f t="shared" si="0"/>
        <v>0</v>
      </c>
      <c r="E45" s="114"/>
      <c r="F45" s="114">
        <f t="shared" si="1"/>
        <v>0</v>
      </c>
      <c r="G45" s="113" t="s">
        <v>525</v>
      </c>
      <c r="H45" s="114">
        <f>200000</f>
        <v>200000</v>
      </c>
      <c r="I45" s="116">
        <f t="shared" ref="I45" si="30">H45*0.27</f>
        <v>54000</v>
      </c>
      <c r="J45" s="114"/>
      <c r="K45" s="114">
        <v>5001000</v>
      </c>
      <c r="L45" s="114">
        <f t="shared" si="4"/>
        <v>5001000</v>
      </c>
      <c r="M45" s="114"/>
      <c r="N45" s="114">
        <f t="shared" si="26"/>
        <v>5001000</v>
      </c>
    </row>
    <row r="46" spans="1:14" ht="17.100000000000001" customHeight="1" x14ac:dyDescent="0.3">
      <c r="A46" s="113"/>
      <c r="B46" s="114"/>
      <c r="C46" s="114"/>
      <c r="D46" s="114"/>
      <c r="E46" s="114"/>
      <c r="F46" s="114"/>
      <c r="G46" s="113" t="s">
        <v>543</v>
      </c>
      <c r="H46" s="114"/>
      <c r="I46" s="116"/>
      <c r="J46" s="114"/>
      <c r="K46" s="114"/>
      <c r="L46" s="114"/>
      <c r="M46" s="114">
        <f>1000000</f>
        <v>1000000</v>
      </c>
      <c r="N46" s="114">
        <f t="shared" si="26"/>
        <v>1000000</v>
      </c>
    </row>
    <row r="47" spans="1:14" ht="17.100000000000001" customHeight="1" x14ac:dyDescent="0.3">
      <c r="A47" s="113"/>
      <c r="B47" s="114"/>
      <c r="C47" s="114"/>
      <c r="D47" s="114"/>
      <c r="E47" s="114"/>
      <c r="F47" s="114"/>
      <c r="G47" s="113" t="s">
        <v>544</v>
      </c>
      <c r="H47" s="114"/>
      <c r="I47" s="116"/>
      <c r="J47" s="114"/>
      <c r="K47" s="114"/>
      <c r="L47" s="114"/>
      <c r="M47" s="114">
        <f>300000</f>
        <v>300000</v>
      </c>
      <c r="N47" s="114">
        <f t="shared" si="26"/>
        <v>300000</v>
      </c>
    </row>
    <row r="48" spans="1:14" ht="17.100000000000001" customHeight="1" x14ac:dyDescent="0.3">
      <c r="A48" s="113"/>
      <c r="B48" s="114"/>
      <c r="C48" s="114"/>
      <c r="D48" s="114">
        <f t="shared" si="0"/>
        <v>0</v>
      </c>
      <c r="E48" s="114"/>
      <c r="F48" s="114">
        <f t="shared" si="1"/>
        <v>0</v>
      </c>
      <c r="G48" s="115" t="s">
        <v>464</v>
      </c>
      <c r="H48" s="119">
        <f>SUM(H41:H45)</f>
        <v>52169000</v>
      </c>
      <c r="I48" s="119">
        <f t="shared" ref="I48" si="31">SUM(I41:I45)</f>
        <v>14086000</v>
      </c>
      <c r="J48" s="119">
        <f>SUM(J41:J47)</f>
        <v>66001000</v>
      </c>
      <c r="K48" s="119">
        <f t="shared" ref="K48:N48" si="32">SUM(K41:K47)</f>
        <v>5001000</v>
      </c>
      <c r="L48" s="119">
        <f t="shared" si="32"/>
        <v>71002000</v>
      </c>
      <c r="M48" s="119">
        <f t="shared" si="32"/>
        <v>1300000</v>
      </c>
      <c r="N48" s="119">
        <f t="shared" si="32"/>
        <v>72302000</v>
      </c>
    </row>
    <row r="49" spans="1:14" ht="17.100000000000001" customHeight="1" x14ac:dyDescent="0.3">
      <c r="A49" s="115"/>
      <c r="B49" s="117"/>
      <c r="C49" s="117"/>
      <c r="D49" s="117">
        <f t="shared" si="0"/>
        <v>0</v>
      </c>
      <c r="E49" s="117"/>
      <c r="F49" s="117">
        <f t="shared" si="1"/>
        <v>0</v>
      </c>
      <c r="G49" s="118" t="s">
        <v>465</v>
      </c>
      <c r="H49" s="119">
        <f>H40+H48</f>
        <v>384811000</v>
      </c>
      <c r="I49" s="119">
        <f t="shared" ref="I49:J49" si="33">I40+I48</f>
        <v>52797000</v>
      </c>
      <c r="J49" s="119">
        <f t="shared" si="33"/>
        <v>418050000</v>
      </c>
      <c r="K49" s="119">
        <f t="shared" ref="K49:M49" si="34">K40+K48</f>
        <v>56055691</v>
      </c>
      <c r="L49" s="119">
        <f t="shared" si="4"/>
        <v>474105691</v>
      </c>
      <c r="M49" s="119">
        <f t="shared" si="34"/>
        <v>28980000</v>
      </c>
      <c r="N49" s="119">
        <f t="shared" si="26"/>
        <v>503085691</v>
      </c>
    </row>
    <row r="50" spans="1:14" ht="17.100000000000001" customHeight="1" x14ac:dyDescent="0.25">
      <c r="A50" s="113"/>
      <c r="B50" s="120"/>
      <c r="C50" s="120"/>
      <c r="D50" s="120">
        <f t="shared" si="0"/>
        <v>0</v>
      </c>
      <c r="E50" s="120"/>
      <c r="F50" s="120">
        <f t="shared" si="1"/>
        <v>0</v>
      </c>
      <c r="G50" s="113"/>
      <c r="H50" s="120"/>
      <c r="I50" s="113"/>
      <c r="J50" s="120"/>
      <c r="K50" s="120"/>
      <c r="L50" s="120">
        <f t="shared" si="4"/>
        <v>0</v>
      </c>
      <c r="M50" s="120"/>
      <c r="N50" s="120">
        <f t="shared" si="26"/>
        <v>0</v>
      </c>
    </row>
    <row r="51" spans="1:14" s="110" customFormat="1" ht="17.100000000000001" customHeight="1" x14ac:dyDescent="0.3">
      <c r="A51" s="115"/>
      <c r="B51" s="119"/>
      <c r="C51" s="119"/>
      <c r="D51" s="119">
        <f t="shared" si="0"/>
        <v>0</v>
      </c>
      <c r="E51" s="119"/>
      <c r="F51" s="119">
        <f t="shared" si="1"/>
        <v>0</v>
      </c>
      <c r="G51" s="115" t="s">
        <v>227</v>
      </c>
      <c r="H51" s="120"/>
      <c r="I51" s="115"/>
      <c r="J51" s="120"/>
      <c r="K51" s="120"/>
      <c r="L51" s="120">
        <f t="shared" si="4"/>
        <v>0</v>
      </c>
      <c r="M51" s="120"/>
      <c r="N51" s="120">
        <f t="shared" si="26"/>
        <v>0</v>
      </c>
    </row>
    <row r="52" spans="1:14" ht="17.100000000000001" customHeight="1" x14ac:dyDescent="0.3">
      <c r="A52" s="113"/>
      <c r="B52" s="114"/>
      <c r="C52" s="114"/>
      <c r="D52" s="114">
        <f t="shared" si="0"/>
        <v>0</v>
      </c>
      <c r="E52" s="114"/>
      <c r="F52" s="114">
        <f t="shared" si="1"/>
        <v>0</v>
      </c>
      <c r="G52" s="113" t="s">
        <v>466</v>
      </c>
      <c r="H52" s="120">
        <f>1100000</f>
        <v>1100000</v>
      </c>
      <c r="I52" s="116">
        <f>H52*0.27</f>
        <v>297000</v>
      </c>
      <c r="J52" s="120">
        <f>H52+I52</f>
        <v>1397000</v>
      </c>
      <c r="K52" s="120"/>
      <c r="L52" s="120">
        <f t="shared" si="4"/>
        <v>1397000</v>
      </c>
      <c r="M52" s="120">
        <f>1000000</f>
        <v>1000000</v>
      </c>
      <c r="N52" s="120">
        <f t="shared" si="26"/>
        <v>2397000</v>
      </c>
    </row>
    <row r="53" spans="1:14" ht="17.100000000000001" customHeight="1" x14ac:dyDescent="0.3">
      <c r="A53" s="115"/>
      <c r="B53" s="117"/>
      <c r="C53" s="117"/>
      <c r="D53" s="117">
        <f t="shared" si="0"/>
        <v>0</v>
      </c>
      <c r="E53" s="117"/>
      <c r="F53" s="117">
        <f t="shared" si="1"/>
        <v>0</v>
      </c>
      <c r="G53" s="118" t="s">
        <v>230</v>
      </c>
      <c r="H53" s="119">
        <f>SUM(H52)</f>
        <v>1100000</v>
      </c>
      <c r="I53" s="119">
        <f t="shared" ref="I53:J53" si="35">SUM(I52)</f>
        <v>297000</v>
      </c>
      <c r="J53" s="119">
        <f t="shared" si="35"/>
        <v>1397000</v>
      </c>
      <c r="K53" s="119">
        <f t="shared" ref="K53:M53" si="36">SUM(K52)</f>
        <v>0</v>
      </c>
      <c r="L53" s="119">
        <f t="shared" si="4"/>
        <v>1397000</v>
      </c>
      <c r="M53" s="119">
        <f t="shared" si="36"/>
        <v>1000000</v>
      </c>
      <c r="N53" s="119">
        <f t="shared" si="26"/>
        <v>2397000</v>
      </c>
    </row>
    <row r="54" spans="1:14" ht="17.100000000000001" customHeight="1" x14ac:dyDescent="0.3">
      <c r="A54" s="113"/>
      <c r="B54" s="114"/>
      <c r="C54" s="114"/>
      <c r="D54" s="114">
        <f t="shared" si="0"/>
        <v>0</v>
      </c>
      <c r="E54" s="114"/>
      <c r="F54" s="114">
        <f t="shared" si="1"/>
        <v>0</v>
      </c>
      <c r="G54" s="121"/>
      <c r="H54" s="114"/>
      <c r="I54" s="121"/>
      <c r="J54" s="114"/>
      <c r="K54" s="114"/>
      <c r="L54" s="114">
        <f t="shared" si="4"/>
        <v>0</v>
      </c>
      <c r="M54" s="114"/>
      <c r="N54" s="114">
        <f t="shared" si="26"/>
        <v>0</v>
      </c>
    </row>
    <row r="55" spans="1:14" ht="17.100000000000001" customHeight="1" x14ac:dyDescent="0.3">
      <c r="A55" s="115"/>
      <c r="B55" s="119"/>
      <c r="C55" s="119"/>
      <c r="D55" s="119">
        <f t="shared" si="0"/>
        <v>0</v>
      </c>
      <c r="E55" s="119"/>
      <c r="F55" s="119">
        <f t="shared" si="1"/>
        <v>0</v>
      </c>
      <c r="G55" s="115" t="s">
        <v>346</v>
      </c>
      <c r="H55" s="120"/>
      <c r="I55" s="115"/>
      <c r="J55" s="120"/>
      <c r="K55" s="120"/>
      <c r="L55" s="120">
        <f t="shared" si="4"/>
        <v>0</v>
      </c>
      <c r="M55" s="120"/>
      <c r="N55" s="120">
        <f t="shared" si="26"/>
        <v>0</v>
      </c>
    </row>
    <row r="56" spans="1:14" ht="17.100000000000001" customHeight="1" x14ac:dyDescent="0.3">
      <c r="A56" s="113"/>
      <c r="B56" s="114"/>
      <c r="C56" s="114"/>
      <c r="D56" s="114">
        <f t="shared" si="0"/>
        <v>0</v>
      </c>
      <c r="E56" s="114"/>
      <c r="F56" s="114">
        <f t="shared" si="1"/>
        <v>0</v>
      </c>
      <c r="G56" s="113" t="s">
        <v>466</v>
      </c>
      <c r="H56" s="120">
        <f>979000</f>
        <v>979000</v>
      </c>
      <c r="I56" s="116">
        <v>264000</v>
      </c>
      <c r="J56" s="120">
        <v>1395000</v>
      </c>
      <c r="K56" s="120"/>
      <c r="L56" s="120">
        <f t="shared" si="4"/>
        <v>1395000</v>
      </c>
      <c r="M56" s="120">
        <f>845000</f>
        <v>845000</v>
      </c>
      <c r="N56" s="120">
        <f t="shared" si="26"/>
        <v>2240000</v>
      </c>
    </row>
    <row r="57" spans="1:14" ht="17.100000000000001" customHeight="1" x14ac:dyDescent="0.3">
      <c r="A57" s="115"/>
      <c r="B57" s="117"/>
      <c r="C57" s="117"/>
      <c r="D57" s="117">
        <f t="shared" si="0"/>
        <v>0</v>
      </c>
      <c r="E57" s="117"/>
      <c r="F57" s="117">
        <f t="shared" si="1"/>
        <v>0</v>
      </c>
      <c r="G57" s="118" t="s">
        <v>347</v>
      </c>
      <c r="H57" s="119">
        <f>SUM(H56)</f>
        <v>979000</v>
      </c>
      <c r="I57" s="119">
        <f t="shared" ref="I57:J57" si="37">SUM(I56)</f>
        <v>264000</v>
      </c>
      <c r="J57" s="119">
        <f t="shared" si="37"/>
        <v>1395000</v>
      </c>
      <c r="K57" s="119">
        <f t="shared" ref="K57:M57" si="38">SUM(K56)</f>
        <v>0</v>
      </c>
      <c r="L57" s="119">
        <f t="shared" si="4"/>
        <v>1395000</v>
      </c>
      <c r="M57" s="119">
        <f t="shared" si="38"/>
        <v>845000</v>
      </c>
      <c r="N57" s="119">
        <f t="shared" si="26"/>
        <v>2240000</v>
      </c>
    </row>
    <row r="58" spans="1:14" ht="17.100000000000001" customHeight="1" x14ac:dyDescent="0.25">
      <c r="A58" s="33" t="s">
        <v>398</v>
      </c>
      <c r="B58" s="34">
        <f>SUM(B8:B57)</f>
        <v>420842000</v>
      </c>
      <c r="C58" s="34">
        <f t="shared" ref="C58:D58" si="39">SUM(C8:C57)</f>
        <v>56055691</v>
      </c>
      <c r="D58" s="34">
        <f t="shared" si="39"/>
        <v>476897691</v>
      </c>
      <c r="E58" s="34">
        <f t="shared" ref="E58:F58" si="40">SUM(E8:E57)</f>
        <v>30825000</v>
      </c>
      <c r="F58" s="34">
        <f t="shared" si="40"/>
        <v>507722691</v>
      </c>
      <c r="G58" s="33" t="s">
        <v>399</v>
      </c>
      <c r="H58" s="34">
        <f>H49+H53+H57</f>
        <v>386890000</v>
      </c>
      <c r="I58" s="34">
        <f t="shared" ref="I58:J58" si="41">I49+I53+I57</f>
        <v>53358000</v>
      </c>
      <c r="J58" s="34">
        <f t="shared" si="41"/>
        <v>420842000</v>
      </c>
      <c r="K58" s="34">
        <f t="shared" ref="K58:M58" si="42">K49+K53+K57</f>
        <v>56055691</v>
      </c>
      <c r="L58" s="34">
        <f t="shared" si="4"/>
        <v>476897691</v>
      </c>
      <c r="M58" s="34">
        <f t="shared" si="42"/>
        <v>30825000</v>
      </c>
      <c r="N58" s="34">
        <f t="shared" si="26"/>
        <v>507722691</v>
      </c>
    </row>
    <row r="59" spans="1:14" ht="17.100000000000001" customHeight="1" x14ac:dyDescent="0.25"/>
    <row r="60" spans="1:14" ht="17.100000000000001" customHeight="1" x14ac:dyDescent="0.25"/>
    <row r="61" spans="1:14" ht="17.100000000000001" customHeight="1" x14ac:dyDescent="0.25"/>
    <row r="62" spans="1:14" ht="17.100000000000001" customHeight="1" x14ac:dyDescent="0.25"/>
    <row r="63" spans="1:14" ht="17.100000000000001" customHeight="1" x14ac:dyDescent="0.25"/>
    <row r="64" spans="1:14" s="110" customFormat="1" ht="17.100000000000001" customHeight="1" x14ac:dyDescent="0.3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</row>
    <row r="65" spans="1:14" s="111" customFormat="1" ht="17.100000000000001" customHeight="1" x14ac:dyDescent="0.25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</row>
    <row r="66" spans="1:14" ht="17.100000000000001" customHeight="1" x14ac:dyDescent="0.25"/>
    <row r="67" spans="1:14" ht="17.100000000000001" customHeight="1" x14ac:dyDescent="0.25"/>
    <row r="68" spans="1:14" ht="17.100000000000001" customHeight="1" x14ac:dyDescent="0.25"/>
    <row r="69" spans="1:14" s="111" customFormat="1" ht="17.100000000000001" customHeight="1" x14ac:dyDescent="0.25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</row>
    <row r="70" spans="1:14" s="112" customFormat="1" ht="17.100000000000001" customHeight="1" x14ac:dyDescent="0.25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</row>
    <row r="71" spans="1:14" ht="17.100000000000001" customHeight="1" x14ac:dyDescent="0.25"/>
    <row r="72" spans="1:14" s="112" customFormat="1" ht="17.100000000000001" customHeight="1" x14ac:dyDescent="0.25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</row>
    <row r="73" spans="1:14" ht="17.100000000000001" customHeight="1" x14ac:dyDescent="0.25"/>
    <row r="74" spans="1:14" s="112" customFormat="1" ht="17.100000000000001" customHeight="1" x14ac:dyDescent="0.25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</row>
    <row r="75" spans="1:14" ht="17.100000000000001" customHeight="1" x14ac:dyDescent="0.25"/>
    <row r="76" spans="1:14" s="112" customFormat="1" ht="17.100000000000001" customHeight="1" x14ac:dyDescent="0.25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</row>
    <row r="77" spans="1:14" ht="17.100000000000001" customHeight="1" x14ac:dyDescent="0.25"/>
    <row r="78" spans="1:14" s="112" customFormat="1" ht="17.100000000000001" customHeight="1" x14ac:dyDescent="0.25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</row>
    <row r="79" spans="1:14" ht="33" customHeight="1" x14ac:dyDescent="0.25"/>
  </sheetData>
  <mergeCells count="5">
    <mergeCell ref="A2:J2"/>
    <mergeCell ref="A3:J3"/>
    <mergeCell ref="A4:J4"/>
    <mergeCell ref="A6:B6"/>
    <mergeCell ref="A5:B5"/>
  </mergeCells>
  <printOptions horizontalCentered="1"/>
  <pageMargins left="0.39370078740157483" right="0.39370078740157483" top="0.59055118110236227" bottom="0.59055118110236227" header="0" footer="0"/>
  <pageSetup paperSize="9" scale="49" orientation="landscape" r:id="rId1"/>
  <headerFooter alignWithMargins="0">
    <oddHeader>&amp;C&amp;"Times New Roman CE,Félkövér"&amp;12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32"/>
  <sheetViews>
    <sheetView zoomScaleNormal="100" zoomScaleSheetLayoutView="100" workbookViewId="0">
      <selection activeCell="A6" sqref="A6:B6"/>
    </sheetView>
  </sheetViews>
  <sheetFormatPr defaultColWidth="5.5546875" defaultRowHeight="13.2" x14ac:dyDescent="0.3"/>
  <cols>
    <col min="1" max="1" width="5.5546875" style="157" customWidth="1"/>
    <col min="2" max="2" width="61.5546875" style="158" customWidth="1"/>
    <col min="3" max="7" width="19.5546875" style="157" customWidth="1"/>
    <col min="8" max="8" width="64.21875" style="157" customWidth="1"/>
    <col min="9" max="13" width="19.5546875" style="157" customWidth="1"/>
    <col min="14" max="259" width="8" style="157" customWidth="1"/>
    <col min="260" max="16384" width="5.5546875" style="157"/>
  </cols>
  <sheetData>
    <row r="2" spans="1:13" ht="17.100000000000001" customHeight="1" x14ac:dyDescent="0.3">
      <c r="A2" s="335" t="s">
        <v>433</v>
      </c>
      <c r="B2" s="336"/>
      <c r="C2" s="336"/>
      <c r="D2" s="336"/>
      <c r="E2" s="336"/>
      <c r="F2" s="336"/>
      <c r="G2" s="336"/>
      <c r="H2" s="336"/>
      <c r="I2" s="336"/>
    </row>
    <row r="3" spans="1:13" ht="17.100000000000001" customHeight="1" x14ac:dyDescent="0.3">
      <c r="A3" s="335" t="s">
        <v>435</v>
      </c>
      <c r="B3" s="337"/>
      <c r="C3" s="337"/>
      <c r="D3" s="337"/>
      <c r="E3" s="337"/>
      <c r="F3" s="337"/>
      <c r="G3" s="337"/>
      <c r="H3" s="337"/>
      <c r="I3" s="337"/>
    </row>
    <row r="4" spans="1:13" ht="17.100000000000001" customHeight="1" x14ac:dyDescent="0.3">
      <c r="A4" s="335" t="s">
        <v>327</v>
      </c>
      <c r="B4" s="338"/>
      <c r="C4" s="338"/>
      <c r="D4" s="338"/>
      <c r="E4" s="338"/>
      <c r="F4" s="338"/>
      <c r="G4" s="338"/>
      <c r="H4" s="338"/>
      <c r="I4" s="338"/>
    </row>
    <row r="5" spans="1:13" ht="19.5" customHeight="1" x14ac:dyDescent="0.3">
      <c r="A5" s="303" t="s">
        <v>573</v>
      </c>
      <c r="B5" s="303"/>
      <c r="C5" s="36"/>
      <c r="D5" s="36"/>
      <c r="E5" s="36"/>
      <c r="F5" s="36"/>
      <c r="G5" s="36"/>
      <c r="H5" s="36"/>
      <c r="I5" s="37"/>
      <c r="J5" s="37"/>
      <c r="K5" s="37"/>
      <c r="L5" s="37"/>
      <c r="M5" s="37"/>
    </row>
    <row r="6" spans="1:13" ht="15.75" customHeight="1" x14ac:dyDescent="0.3">
      <c r="A6" s="303" t="s">
        <v>561</v>
      </c>
      <c r="B6" s="303"/>
      <c r="C6" s="35"/>
      <c r="D6" s="35"/>
      <c r="E6" s="35"/>
      <c r="F6" s="35"/>
      <c r="G6" s="35"/>
      <c r="H6" s="35"/>
      <c r="I6" s="38" t="s">
        <v>15</v>
      </c>
      <c r="J6" s="38" t="s">
        <v>15</v>
      </c>
      <c r="K6" s="38" t="s">
        <v>15</v>
      </c>
      <c r="L6" s="38" t="s">
        <v>15</v>
      </c>
      <c r="M6" s="38" t="s">
        <v>15</v>
      </c>
    </row>
    <row r="7" spans="1:13" ht="18" customHeight="1" x14ac:dyDescent="0.3">
      <c r="A7" s="333" t="s">
        <v>362</v>
      </c>
      <c r="B7" s="75" t="s">
        <v>237</v>
      </c>
      <c r="C7" s="75"/>
      <c r="D7" s="75"/>
      <c r="E7" s="75"/>
      <c r="F7" s="75"/>
      <c r="G7" s="75"/>
      <c r="H7" s="75" t="s">
        <v>238</v>
      </c>
      <c r="I7" s="75"/>
      <c r="J7" s="75"/>
      <c r="K7" s="75"/>
      <c r="L7" s="75"/>
      <c r="M7" s="75"/>
    </row>
    <row r="8" spans="1:13" s="9" customFormat="1" ht="35.1" customHeight="1" x14ac:dyDescent="0.3">
      <c r="A8" s="333"/>
      <c r="B8" s="241" t="s">
        <v>16</v>
      </c>
      <c r="C8" s="241" t="s">
        <v>507</v>
      </c>
      <c r="D8" s="241" t="s">
        <v>514</v>
      </c>
      <c r="E8" s="241" t="s">
        <v>515</v>
      </c>
      <c r="F8" s="241" t="s">
        <v>533</v>
      </c>
      <c r="G8" s="241" t="s">
        <v>534</v>
      </c>
      <c r="H8" s="241" t="s">
        <v>16</v>
      </c>
      <c r="I8" s="241" t="s">
        <v>507</v>
      </c>
      <c r="J8" s="241" t="s">
        <v>514</v>
      </c>
      <c r="K8" s="241" t="s">
        <v>515</v>
      </c>
      <c r="L8" s="241" t="s">
        <v>533</v>
      </c>
      <c r="M8" s="241" t="s">
        <v>534</v>
      </c>
    </row>
    <row r="9" spans="1:13" ht="17.100000000000001" customHeight="1" x14ac:dyDescent="0.3">
      <c r="A9" s="40" t="s">
        <v>17</v>
      </c>
      <c r="B9" s="40" t="s">
        <v>239</v>
      </c>
      <c r="C9" s="39">
        <f>'2a. Önkormányzat bevételek'!E9</f>
        <v>250234871</v>
      </c>
      <c r="D9" s="39">
        <f>24185150</f>
        <v>24185150</v>
      </c>
      <c r="E9" s="39">
        <f>C9+D9</f>
        <v>274420021</v>
      </c>
      <c r="F9" s="39">
        <f>11157283</f>
        <v>11157283</v>
      </c>
      <c r="G9" s="39">
        <f>E9+F9</f>
        <v>285577304</v>
      </c>
      <c r="H9" s="40" t="s">
        <v>98</v>
      </c>
      <c r="I9" s="39">
        <f>+'1. Mérlegszerű'!N10+'1. Mérlegszerű'!N18+'1. Mérlegszerű'!N24</f>
        <v>208615000</v>
      </c>
      <c r="J9" s="39">
        <f>4928000+3860000</f>
        <v>8788000</v>
      </c>
      <c r="K9" s="39">
        <f>I9+J9</f>
        <v>217403000</v>
      </c>
      <c r="L9" s="39">
        <f>6350000+1130000</f>
        <v>7480000</v>
      </c>
      <c r="M9" s="39">
        <f>K9+L9</f>
        <v>224883000</v>
      </c>
    </row>
    <row r="10" spans="1:13" ht="17.100000000000001" customHeight="1" x14ac:dyDescent="0.3">
      <c r="A10" s="40" t="s">
        <v>18</v>
      </c>
      <c r="B10" s="40" t="s">
        <v>240</v>
      </c>
      <c r="C10" s="39">
        <f>'2a. Önkormányzat bevételek'!E15+'4. Művelődési Ház'!E8+'3a. Hivatal'!E8</f>
        <v>71263882</v>
      </c>
      <c r="D10" s="39">
        <f>-14926500+4072000</f>
        <v>-10854500</v>
      </c>
      <c r="E10" s="39">
        <f t="shared" ref="E10:E27" si="0">C10+D10</f>
        <v>60409382</v>
      </c>
      <c r="F10" s="39">
        <f>14927300-1566000+400000</f>
        <v>13761300</v>
      </c>
      <c r="G10" s="39">
        <f t="shared" ref="G10:G15" si="1">E10+F10</f>
        <v>74170682</v>
      </c>
      <c r="H10" s="40" t="s">
        <v>241</v>
      </c>
      <c r="I10" s="39">
        <f>+'1. Mérlegszerű'!N11+'1. Mérlegszerű'!N19+'1. Mérlegszerű'!N25</f>
        <v>31084000</v>
      </c>
      <c r="J10" s="39">
        <f>-30924000+460000</f>
        <v>-30464000</v>
      </c>
      <c r="K10" s="39">
        <f t="shared" ref="K10:K27" si="2">I10+J10</f>
        <v>620000</v>
      </c>
      <c r="L10" s="39">
        <f>1666500</f>
        <v>1666500</v>
      </c>
      <c r="M10" s="39">
        <f t="shared" ref="M10:M15" si="3">K10+L10</f>
        <v>2286500</v>
      </c>
    </row>
    <row r="11" spans="1:13" ht="17.100000000000001" customHeight="1" x14ac:dyDescent="0.3">
      <c r="A11" s="40" t="s">
        <v>242</v>
      </c>
      <c r="B11" s="40" t="s">
        <v>243</v>
      </c>
      <c r="C11" s="39">
        <v>0</v>
      </c>
      <c r="D11" s="39"/>
      <c r="E11" s="39">
        <f t="shared" si="0"/>
        <v>0</v>
      </c>
      <c r="F11" s="39"/>
      <c r="G11" s="39">
        <f t="shared" si="1"/>
        <v>0</v>
      </c>
      <c r="H11" s="40" t="s">
        <v>244</v>
      </c>
      <c r="I11" s="39">
        <f>+'1. Mérlegszerű'!N12+'1. Mérlegszerű'!N20+'1. Mérlegszerű'!N26</f>
        <v>419283000</v>
      </c>
      <c r="J11" s="39">
        <f>8414000-248000</f>
        <v>8166000</v>
      </c>
      <c r="K11" s="39">
        <f t="shared" si="2"/>
        <v>427449000</v>
      </c>
      <c r="L11" s="39">
        <f>45137680+2000000+4400000+351000+400000+3000000+7810000</f>
        <v>63098680</v>
      </c>
      <c r="M11" s="39">
        <f t="shared" si="3"/>
        <v>490547680</v>
      </c>
    </row>
    <row r="12" spans="1:13" ht="17.100000000000001" customHeight="1" x14ac:dyDescent="0.3">
      <c r="A12" s="40" t="s">
        <v>245</v>
      </c>
      <c r="B12" s="40" t="s">
        <v>46</v>
      </c>
      <c r="C12" s="39">
        <f>+'3a. Hivatal'!E11+'2a. Önkormányzat bevételek'!E19</f>
        <v>134050000</v>
      </c>
      <c r="D12" s="39"/>
      <c r="E12" s="39">
        <f t="shared" si="0"/>
        <v>134050000</v>
      </c>
      <c r="F12" s="39">
        <f>2000000+12000000</f>
        <v>14000000</v>
      </c>
      <c r="G12" s="39">
        <f t="shared" si="1"/>
        <v>148050000</v>
      </c>
      <c r="H12" s="40" t="s">
        <v>161</v>
      </c>
      <c r="I12" s="39">
        <f>+'1. Mérlegszerű'!N13+'1. Mérlegszerű'!N21+'1. Mérlegszerű'!N27</f>
        <v>8400000</v>
      </c>
      <c r="J12" s="39">
        <f>+'1. Mérlegszerű'!O13+'1. Mérlegszerű'!O21+'1. Mérlegszerű'!O27</f>
        <v>0</v>
      </c>
      <c r="K12" s="39">
        <f t="shared" si="2"/>
        <v>8400000</v>
      </c>
      <c r="L12" s="39">
        <f>+'1. Mérlegszerű'!Q13+'1. Mérlegszerű'!Q21+'1. Mérlegszerű'!Q27</f>
        <v>0</v>
      </c>
      <c r="M12" s="39">
        <f t="shared" si="3"/>
        <v>8400000</v>
      </c>
    </row>
    <row r="13" spans="1:13" ht="17.100000000000001" customHeight="1" x14ac:dyDescent="0.3">
      <c r="A13" s="40" t="s">
        <v>246</v>
      </c>
      <c r="B13" s="40" t="s">
        <v>56</v>
      </c>
      <c r="C13" s="39">
        <f>'4. Művelődési Ház'!E12+'3a. Hivatal'!E12+'2a. Önkormányzat bevételek'!E26</f>
        <v>142728758</v>
      </c>
      <c r="D13" s="39">
        <f>7916736</f>
        <v>7916736</v>
      </c>
      <c r="E13" s="39">
        <f t="shared" si="0"/>
        <v>150645494</v>
      </c>
      <c r="F13" s="39">
        <f>57303000+1651000+2500000</f>
        <v>61454000</v>
      </c>
      <c r="G13" s="39">
        <f t="shared" si="1"/>
        <v>212099494</v>
      </c>
      <c r="H13" s="40" t="s">
        <v>167</v>
      </c>
      <c r="I13" s="39">
        <f>+'1. Mérlegszerű'!N14</f>
        <v>148588000</v>
      </c>
      <c r="J13" s="39">
        <f>36131449+2180000+350000</f>
        <v>38661449</v>
      </c>
      <c r="K13" s="39">
        <f t="shared" si="2"/>
        <v>187249449</v>
      </c>
      <c r="L13" s="39">
        <f>-1000000+8032000-1566000</f>
        <v>5466000</v>
      </c>
      <c r="M13" s="39">
        <f t="shared" si="3"/>
        <v>192715449</v>
      </c>
    </row>
    <row r="14" spans="1:13" ht="17.100000000000001" customHeight="1" x14ac:dyDescent="0.3">
      <c r="A14" s="40" t="s">
        <v>247</v>
      </c>
      <c r="B14" s="40" t="s">
        <v>78</v>
      </c>
      <c r="C14" s="39"/>
      <c r="D14" s="39"/>
      <c r="E14" s="39">
        <f t="shared" si="0"/>
        <v>0</v>
      </c>
      <c r="F14" s="39">
        <f>1023237</f>
        <v>1023237</v>
      </c>
      <c r="G14" s="39">
        <f t="shared" si="1"/>
        <v>1023237</v>
      </c>
      <c r="H14" s="40" t="s">
        <v>248</v>
      </c>
      <c r="I14" s="39">
        <f>+'1. Mérlegszerű'!N15</f>
        <v>32624413</v>
      </c>
      <c r="J14" s="39">
        <f>-14229332-350000-952500</f>
        <v>-15531832</v>
      </c>
      <c r="K14" s="39">
        <f t="shared" si="2"/>
        <v>17092581</v>
      </c>
      <c r="L14" s="39">
        <f>-9600360+1300000+2560000</f>
        <v>-5740360</v>
      </c>
      <c r="M14" s="39">
        <f t="shared" si="3"/>
        <v>11352221</v>
      </c>
    </row>
    <row r="15" spans="1:13" ht="17.100000000000001" customHeight="1" x14ac:dyDescent="0.3">
      <c r="A15" s="40" t="s">
        <v>249</v>
      </c>
      <c r="B15" s="40" t="s">
        <v>250</v>
      </c>
      <c r="C15" s="39"/>
      <c r="D15" s="39"/>
      <c r="E15" s="39">
        <f t="shared" si="0"/>
        <v>0</v>
      </c>
      <c r="F15" s="39"/>
      <c r="G15" s="39">
        <f t="shared" si="1"/>
        <v>0</v>
      </c>
      <c r="H15" s="40"/>
      <c r="I15" s="104"/>
      <c r="J15" s="104"/>
      <c r="K15" s="104">
        <f t="shared" si="2"/>
        <v>0</v>
      </c>
      <c r="L15" s="104"/>
      <c r="M15" s="104">
        <f t="shared" si="3"/>
        <v>0</v>
      </c>
    </row>
    <row r="16" spans="1:13" ht="17.100000000000001" customHeight="1" x14ac:dyDescent="0.3">
      <c r="A16" s="42" t="s">
        <v>251</v>
      </c>
      <c r="B16" s="42" t="s">
        <v>382</v>
      </c>
      <c r="C16" s="43">
        <f>SUM(C9:C15)</f>
        <v>598277511</v>
      </c>
      <c r="D16" s="43">
        <f t="shared" ref="D16:G16" si="4">SUM(D9:D15)</f>
        <v>21247386</v>
      </c>
      <c r="E16" s="43">
        <f t="shared" si="4"/>
        <v>619524897</v>
      </c>
      <c r="F16" s="43">
        <f t="shared" si="4"/>
        <v>101395820</v>
      </c>
      <c r="G16" s="43">
        <f t="shared" si="4"/>
        <v>720920717</v>
      </c>
      <c r="H16" s="42" t="s">
        <v>383</v>
      </c>
      <c r="I16" s="43">
        <f>SUM(I9:I15)</f>
        <v>848594413</v>
      </c>
      <c r="J16" s="43">
        <f t="shared" ref="J16:M16" si="5">SUM(J9:J15)</f>
        <v>9619617</v>
      </c>
      <c r="K16" s="43">
        <f t="shared" si="5"/>
        <v>858214030</v>
      </c>
      <c r="L16" s="43">
        <f t="shared" si="5"/>
        <v>71970820</v>
      </c>
      <c r="M16" s="43">
        <f t="shared" si="5"/>
        <v>930184850</v>
      </c>
    </row>
    <row r="17" spans="1:13" ht="17.100000000000001" customHeight="1" x14ac:dyDescent="0.3">
      <c r="A17" s="40" t="s">
        <v>252</v>
      </c>
      <c r="B17" s="40" t="s">
        <v>384</v>
      </c>
      <c r="C17" s="48">
        <f>+C18+C19+C20+C21</f>
        <v>259645500</v>
      </c>
      <c r="D17" s="48">
        <f t="shared" ref="D17:E17" si="6">+D18+D19+D20+D21</f>
        <v>-11448933</v>
      </c>
      <c r="E17" s="48">
        <f t="shared" si="6"/>
        <v>248196567</v>
      </c>
      <c r="F17" s="48">
        <f t="shared" ref="F17:G17" si="7">+F18+F19+F20+F21</f>
        <v>-29425000</v>
      </c>
      <c r="G17" s="48">
        <f t="shared" si="7"/>
        <v>218771567</v>
      </c>
      <c r="H17" s="40" t="s">
        <v>254</v>
      </c>
      <c r="I17" s="39"/>
      <c r="J17" s="39"/>
      <c r="K17" s="39">
        <f t="shared" si="2"/>
        <v>0</v>
      </c>
      <c r="L17" s="39"/>
      <c r="M17" s="39">
        <f t="shared" ref="M17:M27" si="8">K17+L17</f>
        <v>0</v>
      </c>
    </row>
    <row r="18" spans="1:13" ht="17.100000000000001" customHeight="1" x14ac:dyDescent="0.3">
      <c r="A18" s="40" t="s">
        <v>253</v>
      </c>
      <c r="B18" s="40" t="s">
        <v>256</v>
      </c>
      <c r="C18" s="39">
        <f>+'1. Mérlegszerű'!E37</f>
        <v>259645500</v>
      </c>
      <c r="D18" s="39">
        <f>178836+2560+1722023+4596941-16996793-952500</f>
        <v>-11448933</v>
      </c>
      <c r="E18" s="39">
        <f t="shared" si="0"/>
        <v>248196567</v>
      </c>
      <c r="F18" s="39">
        <v>-29425000</v>
      </c>
      <c r="G18" s="39">
        <f t="shared" ref="G18:G21" si="9">E18+F18</f>
        <v>218771567</v>
      </c>
      <c r="H18" s="40" t="s">
        <v>257</v>
      </c>
      <c r="I18" s="39"/>
      <c r="J18" s="39"/>
      <c r="K18" s="39">
        <f t="shared" si="2"/>
        <v>0</v>
      </c>
      <c r="L18" s="39"/>
      <c r="M18" s="39">
        <f t="shared" si="8"/>
        <v>0</v>
      </c>
    </row>
    <row r="19" spans="1:13" ht="17.100000000000001" customHeight="1" x14ac:dyDescent="0.3">
      <c r="A19" s="40" t="s">
        <v>255</v>
      </c>
      <c r="B19" s="40" t="s">
        <v>259</v>
      </c>
      <c r="C19" s="39"/>
      <c r="D19" s="39"/>
      <c r="E19" s="39">
        <f t="shared" si="0"/>
        <v>0</v>
      </c>
      <c r="F19" s="39"/>
      <c r="G19" s="39">
        <f t="shared" si="9"/>
        <v>0</v>
      </c>
      <c r="H19" s="40" t="s">
        <v>260</v>
      </c>
      <c r="I19" s="39"/>
      <c r="J19" s="39"/>
      <c r="K19" s="39">
        <f t="shared" si="2"/>
        <v>0</v>
      </c>
      <c r="L19" s="39"/>
      <c r="M19" s="39">
        <f t="shared" si="8"/>
        <v>0</v>
      </c>
    </row>
    <row r="20" spans="1:13" ht="17.100000000000001" customHeight="1" x14ac:dyDescent="0.3">
      <c r="A20" s="40" t="s">
        <v>258</v>
      </c>
      <c r="B20" s="40" t="s">
        <v>262</v>
      </c>
      <c r="C20" s="39"/>
      <c r="D20" s="39"/>
      <c r="E20" s="39">
        <f t="shared" si="0"/>
        <v>0</v>
      </c>
      <c r="F20" s="39"/>
      <c r="G20" s="39">
        <f t="shared" si="9"/>
        <v>0</v>
      </c>
      <c r="H20" s="40" t="s">
        <v>263</v>
      </c>
      <c r="I20" s="39"/>
      <c r="J20" s="39"/>
      <c r="K20" s="39">
        <f t="shared" si="2"/>
        <v>0</v>
      </c>
      <c r="L20" s="39"/>
      <c r="M20" s="39">
        <f t="shared" si="8"/>
        <v>0</v>
      </c>
    </row>
    <row r="21" spans="1:13" ht="17.100000000000001" customHeight="1" x14ac:dyDescent="0.3">
      <c r="A21" s="40" t="s">
        <v>261</v>
      </c>
      <c r="B21" s="40" t="s">
        <v>265</v>
      </c>
      <c r="C21" s="39"/>
      <c r="D21" s="39"/>
      <c r="E21" s="39">
        <f t="shared" si="0"/>
        <v>0</v>
      </c>
      <c r="F21" s="39"/>
      <c r="G21" s="39">
        <f t="shared" si="9"/>
        <v>0</v>
      </c>
      <c r="H21" s="40" t="s">
        <v>266</v>
      </c>
      <c r="I21" s="39"/>
      <c r="J21" s="39"/>
      <c r="K21" s="39">
        <f t="shared" si="2"/>
        <v>0</v>
      </c>
      <c r="L21" s="39"/>
      <c r="M21" s="39">
        <f t="shared" si="8"/>
        <v>0</v>
      </c>
    </row>
    <row r="22" spans="1:13" ht="17.100000000000001" customHeight="1" x14ac:dyDescent="0.3">
      <c r="A22" s="40" t="s">
        <v>264</v>
      </c>
      <c r="B22" s="40" t="s">
        <v>385</v>
      </c>
      <c r="C22" s="39">
        <f>+C23+C24</f>
        <v>0</v>
      </c>
      <c r="D22" s="39">
        <f t="shared" ref="D22:E22" si="10">+D23+D24</f>
        <v>0</v>
      </c>
      <c r="E22" s="39">
        <f t="shared" si="10"/>
        <v>0</v>
      </c>
      <c r="F22" s="39">
        <f t="shared" ref="F22:G22" si="11">+F23+F24</f>
        <v>0</v>
      </c>
      <c r="G22" s="39">
        <f t="shared" si="11"/>
        <v>0</v>
      </c>
      <c r="H22" s="40" t="s">
        <v>268</v>
      </c>
      <c r="I22" s="39"/>
      <c r="J22" s="39"/>
      <c r="K22" s="39">
        <f t="shared" si="2"/>
        <v>0</v>
      </c>
      <c r="L22" s="39"/>
      <c r="M22" s="39">
        <f t="shared" si="8"/>
        <v>0</v>
      </c>
    </row>
    <row r="23" spans="1:13" ht="17.100000000000001" customHeight="1" x14ac:dyDescent="0.3">
      <c r="A23" s="40" t="s">
        <v>267</v>
      </c>
      <c r="B23" s="40" t="s">
        <v>270</v>
      </c>
      <c r="C23" s="39"/>
      <c r="D23" s="39"/>
      <c r="E23" s="39">
        <f t="shared" si="0"/>
        <v>0</v>
      </c>
      <c r="F23" s="39"/>
      <c r="G23" s="39">
        <f t="shared" ref="G23:G27" si="12">E23+F23</f>
        <v>0</v>
      </c>
      <c r="H23" s="40" t="s">
        <v>271</v>
      </c>
      <c r="I23" s="39"/>
      <c r="J23" s="39"/>
      <c r="K23" s="39">
        <f t="shared" si="2"/>
        <v>0</v>
      </c>
      <c r="L23" s="39"/>
      <c r="M23" s="39">
        <f t="shared" si="8"/>
        <v>0</v>
      </c>
    </row>
    <row r="24" spans="1:13" ht="17.100000000000001" customHeight="1" x14ac:dyDescent="0.3">
      <c r="A24" s="40" t="s">
        <v>269</v>
      </c>
      <c r="B24" s="40" t="s">
        <v>273</v>
      </c>
      <c r="C24" s="39"/>
      <c r="D24" s="39"/>
      <c r="E24" s="39">
        <f t="shared" si="0"/>
        <v>0</v>
      </c>
      <c r="F24" s="39"/>
      <c r="G24" s="39">
        <f t="shared" si="12"/>
        <v>0</v>
      </c>
      <c r="H24" s="40" t="s">
        <v>274</v>
      </c>
      <c r="I24" s="39"/>
      <c r="J24" s="39"/>
      <c r="K24" s="39">
        <f t="shared" si="2"/>
        <v>0</v>
      </c>
      <c r="L24" s="39"/>
      <c r="M24" s="39">
        <f t="shared" si="8"/>
        <v>0</v>
      </c>
    </row>
    <row r="25" spans="1:13" ht="17.100000000000001" customHeight="1" x14ac:dyDescent="0.3">
      <c r="A25" s="40" t="s">
        <v>272</v>
      </c>
      <c r="B25" s="40" t="s">
        <v>276</v>
      </c>
      <c r="C25" s="39"/>
      <c r="D25" s="39"/>
      <c r="E25" s="39">
        <f t="shared" si="0"/>
        <v>0</v>
      </c>
      <c r="F25" s="39"/>
      <c r="G25" s="39">
        <f t="shared" si="12"/>
        <v>0</v>
      </c>
      <c r="H25" s="40" t="s">
        <v>277</v>
      </c>
      <c r="I25" s="39"/>
      <c r="J25" s="39"/>
      <c r="K25" s="39">
        <f t="shared" si="2"/>
        <v>0</v>
      </c>
      <c r="L25" s="39"/>
      <c r="M25" s="39">
        <f t="shared" si="8"/>
        <v>0</v>
      </c>
    </row>
    <row r="26" spans="1:13" ht="17.100000000000001" customHeight="1" x14ac:dyDescent="0.3">
      <c r="A26" s="40" t="s">
        <v>275</v>
      </c>
      <c r="B26" s="40" t="s">
        <v>279</v>
      </c>
      <c r="C26" s="39"/>
      <c r="D26" s="39"/>
      <c r="E26" s="39">
        <f t="shared" si="0"/>
        <v>0</v>
      </c>
      <c r="F26" s="39"/>
      <c r="G26" s="39">
        <f t="shared" si="12"/>
        <v>0</v>
      </c>
      <c r="H26" s="40" t="s">
        <v>280</v>
      </c>
      <c r="I26" s="39">
        <f>'2b. Önkormányzat kiadások'!E64</f>
        <v>9328598</v>
      </c>
      <c r="J26" s="39">
        <v>178836</v>
      </c>
      <c r="K26" s="39">
        <f t="shared" si="2"/>
        <v>9507434</v>
      </c>
      <c r="L26" s="39"/>
      <c r="M26" s="39">
        <f t="shared" si="8"/>
        <v>9507434</v>
      </c>
    </row>
    <row r="27" spans="1:13" ht="17.100000000000001" customHeight="1" x14ac:dyDescent="0.3">
      <c r="A27" s="40" t="s">
        <v>278</v>
      </c>
      <c r="B27" s="40" t="s">
        <v>279</v>
      </c>
      <c r="C27" s="39"/>
      <c r="D27" s="39"/>
      <c r="E27" s="39">
        <f t="shared" si="0"/>
        <v>0</v>
      </c>
      <c r="F27" s="39"/>
      <c r="G27" s="39">
        <f t="shared" si="12"/>
        <v>0</v>
      </c>
      <c r="H27" s="41" t="s">
        <v>216</v>
      </c>
      <c r="I27" s="39">
        <f>+'1. Mérlegszerű'!N32-I26</f>
        <v>0</v>
      </c>
      <c r="J27" s="39"/>
      <c r="K27" s="39">
        <f t="shared" si="2"/>
        <v>0</v>
      </c>
      <c r="L27" s="39"/>
      <c r="M27" s="39">
        <f t="shared" si="8"/>
        <v>0</v>
      </c>
    </row>
    <row r="28" spans="1:13" ht="17.100000000000001" customHeight="1" x14ac:dyDescent="0.3">
      <c r="A28" s="42" t="s">
        <v>281</v>
      </c>
      <c r="B28" s="42" t="s">
        <v>386</v>
      </c>
      <c r="C28" s="43">
        <f>+C17+C22+C25+C27</f>
        <v>259645500</v>
      </c>
      <c r="D28" s="43">
        <f t="shared" ref="D28:G28" si="13">+D17+D22+D25+D27</f>
        <v>-11448933</v>
      </c>
      <c r="E28" s="43">
        <f t="shared" si="13"/>
        <v>248196567</v>
      </c>
      <c r="F28" s="43">
        <f t="shared" si="13"/>
        <v>-29425000</v>
      </c>
      <c r="G28" s="43">
        <f t="shared" si="13"/>
        <v>218771567</v>
      </c>
      <c r="H28" s="42" t="s">
        <v>387</v>
      </c>
      <c r="I28" s="43">
        <f>SUM(I17:I27)</f>
        <v>9328598</v>
      </c>
      <c r="J28" s="43">
        <f t="shared" ref="J28:M28" si="14">SUM(J17:J27)</f>
        <v>178836</v>
      </c>
      <c r="K28" s="43">
        <f t="shared" si="14"/>
        <v>9507434</v>
      </c>
      <c r="L28" s="43">
        <f t="shared" si="14"/>
        <v>0</v>
      </c>
      <c r="M28" s="43">
        <f t="shared" si="14"/>
        <v>9507434</v>
      </c>
    </row>
    <row r="29" spans="1:13" ht="17.100000000000001" customHeight="1" x14ac:dyDescent="0.3">
      <c r="A29" s="339" t="s">
        <v>396</v>
      </c>
      <c r="B29" s="340"/>
      <c r="C29" s="45">
        <f>+C16+C28</f>
        <v>857923011</v>
      </c>
      <c r="D29" s="45">
        <f t="shared" ref="D29:G29" si="15">+D16+D28</f>
        <v>9798453</v>
      </c>
      <c r="E29" s="45">
        <f t="shared" si="15"/>
        <v>867721464</v>
      </c>
      <c r="F29" s="45">
        <f t="shared" si="15"/>
        <v>71970820</v>
      </c>
      <c r="G29" s="45">
        <f t="shared" si="15"/>
        <v>939692284</v>
      </c>
      <c r="H29" s="44" t="s">
        <v>397</v>
      </c>
      <c r="I29" s="45">
        <f>+I16+I28</f>
        <v>857923011</v>
      </c>
      <c r="J29" s="45">
        <f>+J16+J28</f>
        <v>9798453</v>
      </c>
      <c r="K29" s="45">
        <f>+K16+K28</f>
        <v>867721464</v>
      </c>
      <c r="L29" s="45">
        <f t="shared" ref="L29:M29" si="16">+L16+L28</f>
        <v>71970820</v>
      </c>
      <c r="M29" s="45">
        <f t="shared" si="16"/>
        <v>939692284</v>
      </c>
    </row>
    <row r="30" spans="1:13" ht="17.100000000000001" customHeight="1" x14ac:dyDescent="0.3">
      <c r="A30" s="339" t="s">
        <v>282</v>
      </c>
      <c r="B30" s="340"/>
      <c r="C30" s="45">
        <f>IF(C16-I16&lt;0,I16-C16,"-")</f>
        <v>250316902</v>
      </c>
      <c r="D30" s="45" t="str">
        <f>IF(D16-J16&lt;0,J16-D16,"-")</f>
        <v>-</v>
      </c>
      <c r="E30" s="45">
        <f>IF(E16-K16&lt;0,K16-E16,"-")</f>
        <v>238689133</v>
      </c>
      <c r="F30" s="45" t="str">
        <f>IF(F16-L16&lt;0,L16-F16,"-")</f>
        <v>-</v>
      </c>
      <c r="G30" s="45">
        <f>IF(G16-M16&lt;0,M16-G16,"-")</f>
        <v>209264133</v>
      </c>
      <c r="H30" s="44" t="s">
        <v>283</v>
      </c>
      <c r="I30" s="45" t="str">
        <f>IF(C16-I16&gt;0,C16-I16,"-")</f>
        <v>-</v>
      </c>
      <c r="J30" s="45">
        <f>IF(D16-J16&gt;0,D16-J16,"-")</f>
        <v>11627769</v>
      </c>
      <c r="K30" s="45" t="str">
        <f>IF(E16-K16&gt;0,E16-K16,"-")</f>
        <v>-</v>
      </c>
      <c r="L30" s="45">
        <f>IF(F16-L16&gt;0,F16-L16,"-")</f>
        <v>29425000</v>
      </c>
      <c r="M30" s="45" t="str">
        <f>IF(G16-M16&gt;0,G16-M16,"-")</f>
        <v>-</v>
      </c>
    </row>
    <row r="31" spans="1:13" ht="17.100000000000001" customHeight="1" x14ac:dyDescent="0.3">
      <c r="A31" s="339" t="s">
        <v>284</v>
      </c>
      <c r="B31" s="340"/>
      <c r="C31" s="45" t="str">
        <f>IF(C16+C28-I29&lt;0,I29-(C16+C28),"-")</f>
        <v>-</v>
      </c>
      <c r="D31" s="45" t="str">
        <f>IF(D16+D28-J29&lt;0,J29-(D16+D28),"-")</f>
        <v>-</v>
      </c>
      <c r="E31" s="45" t="str">
        <f>IF(E16+E28-K29&lt;0,K29-(E16+E28),"-")</f>
        <v>-</v>
      </c>
      <c r="F31" s="45" t="str">
        <f>IF(F16+F28-L29&lt;0,L29-(F16+F28),"-")</f>
        <v>-</v>
      </c>
      <c r="G31" s="45" t="str">
        <f>IF(G16+G28-M29&lt;0,M29-(G16+G28),"-")</f>
        <v>-</v>
      </c>
      <c r="H31" s="44" t="s">
        <v>285</v>
      </c>
      <c r="I31" s="45" t="str">
        <f>IF(C16+C28-I29&gt;0,C16+C28-I29,"-")</f>
        <v>-</v>
      </c>
      <c r="J31" s="45" t="str">
        <f>IF(D16+D28-J29&gt;0,D16+D28-J29,"-")</f>
        <v>-</v>
      </c>
      <c r="K31" s="45" t="str">
        <f>IF(E16+E28-K29&gt;0,E16+E28-K29,"-")</f>
        <v>-</v>
      </c>
      <c r="L31" s="45" t="str">
        <f>IF(F16+F28-L29&gt;0,F16+F28-L29,"-")</f>
        <v>-</v>
      </c>
      <c r="M31" s="45" t="str">
        <f>IF(G16+G28-M29&gt;0,G16+G28-M29,"-")</f>
        <v>-</v>
      </c>
    </row>
    <row r="32" spans="1:13" ht="17.399999999999999" x14ac:dyDescent="0.3">
      <c r="B32" s="334"/>
      <c r="C32" s="334"/>
      <c r="D32" s="334"/>
      <c r="E32" s="334"/>
      <c r="F32" s="334"/>
      <c r="G32" s="334"/>
      <c r="H32" s="334"/>
    </row>
  </sheetData>
  <mergeCells count="10">
    <mergeCell ref="A6:B6"/>
    <mergeCell ref="A7:A8"/>
    <mergeCell ref="B32:H32"/>
    <mergeCell ref="A2:I2"/>
    <mergeCell ref="A3:I3"/>
    <mergeCell ref="A4:I4"/>
    <mergeCell ref="A29:B29"/>
    <mergeCell ref="A30:B30"/>
    <mergeCell ref="A31:B31"/>
    <mergeCell ref="A5:B5"/>
  </mergeCells>
  <phoneticPr fontId="49" type="noConversion"/>
  <printOptions horizontalCentered="1"/>
  <pageMargins left="0.33" right="0.48" top="0.9055118110236221" bottom="0.5" header="0.6692913385826772" footer="0.28000000000000003"/>
  <pageSetup paperSize="9" scale="42" orientation="landscape" r:id="rId1"/>
  <headerFooter alignWithMargins="0">
    <oddHeader xml:space="preserve">&amp;R&amp;"Times New Roman CE,Félkövér dőlt"&amp;11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2"/>
  <sheetViews>
    <sheetView zoomScaleNormal="100" zoomScaleSheetLayoutView="115" workbookViewId="0">
      <selection activeCell="A6" sqref="A6:B6"/>
    </sheetView>
  </sheetViews>
  <sheetFormatPr defaultColWidth="8" defaultRowHeight="13.2" x14ac:dyDescent="0.3"/>
  <cols>
    <col min="1" max="1" width="5.5546875" style="157" customWidth="1"/>
    <col min="2" max="2" width="57.5546875" style="158" customWidth="1"/>
    <col min="3" max="7" width="19.5546875" style="157" customWidth="1"/>
    <col min="8" max="8" width="57.5546875" style="157" customWidth="1"/>
    <col min="9" max="13" width="19.5546875" style="157" customWidth="1"/>
    <col min="14" max="16384" width="8" style="157"/>
  </cols>
  <sheetData>
    <row r="1" spans="1:13" ht="17.100000000000001" customHeight="1" x14ac:dyDescent="0.3">
      <c r="A1" s="35"/>
      <c r="B1" s="4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7.100000000000001" customHeight="1" x14ac:dyDescent="0.3">
      <c r="A2" s="335" t="s">
        <v>433</v>
      </c>
      <c r="B2" s="336"/>
      <c r="C2" s="336"/>
      <c r="D2" s="336"/>
      <c r="E2" s="336"/>
      <c r="F2" s="336"/>
      <c r="G2" s="336"/>
      <c r="H2" s="336"/>
      <c r="I2" s="336"/>
    </row>
    <row r="3" spans="1:13" ht="17.100000000000001" customHeight="1" x14ac:dyDescent="0.3">
      <c r="A3" s="335" t="s">
        <v>434</v>
      </c>
      <c r="B3" s="341"/>
      <c r="C3" s="341"/>
      <c r="D3" s="341"/>
      <c r="E3" s="341"/>
      <c r="F3" s="341"/>
      <c r="G3" s="341"/>
      <c r="H3" s="341"/>
      <c r="I3" s="341"/>
    </row>
    <row r="4" spans="1:13" ht="17.100000000000001" customHeight="1" x14ac:dyDescent="0.3">
      <c r="A4" s="335" t="s">
        <v>327</v>
      </c>
      <c r="B4" s="342"/>
      <c r="C4" s="342"/>
      <c r="D4" s="342"/>
      <c r="E4" s="342"/>
      <c r="F4" s="342"/>
      <c r="G4" s="342"/>
      <c r="H4" s="342"/>
      <c r="I4" s="342"/>
    </row>
    <row r="5" spans="1:13" ht="17.100000000000001" customHeight="1" x14ac:dyDescent="0.3">
      <c r="A5" s="303" t="s">
        <v>574</v>
      </c>
      <c r="B5" s="303"/>
      <c r="C5" s="36"/>
      <c r="D5" s="36"/>
      <c r="E5" s="36"/>
      <c r="F5" s="36"/>
      <c r="G5" s="36"/>
      <c r="H5" s="36"/>
      <c r="I5" s="37"/>
      <c r="J5" s="37"/>
      <c r="K5" s="37"/>
      <c r="L5" s="37"/>
      <c r="M5" s="37"/>
    </row>
    <row r="6" spans="1:13" ht="17.100000000000001" customHeight="1" x14ac:dyDescent="0.3">
      <c r="A6" s="303" t="s">
        <v>562</v>
      </c>
      <c r="B6" s="303"/>
      <c r="C6" s="35"/>
      <c r="D6" s="35"/>
      <c r="E6" s="35"/>
      <c r="F6" s="35"/>
      <c r="G6" s="35"/>
      <c r="H6" s="35"/>
      <c r="I6" s="38" t="s">
        <v>15</v>
      </c>
      <c r="J6" s="38" t="s">
        <v>15</v>
      </c>
      <c r="K6" s="38" t="s">
        <v>15</v>
      </c>
      <c r="L6" s="38" t="s">
        <v>15</v>
      </c>
      <c r="M6" s="38" t="s">
        <v>15</v>
      </c>
    </row>
    <row r="7" spans="1:13" ht="17.100000000000001" customHeight="1" x14ac:dyDescent="0.3">
      <c r="A7" s="333" t="s">
        <v>362</v>
      </c>
      <c r="B7" s="75" t="s">
        <v>237</v>
      </c>
      <c r="C7" s="75"/>
      <c r="D7" s="75"/>
      <c r="E7" s="75"/>
      <c r="F7" s="75"/>
      <c r="G7" s="75"/>
      <c r="H7" s="75" t="s">
        <v>238</v>
      </c>
      <c r="I7" s="75"/>
      <c r="J7" s="75"/>
      <c r="K7" s="75"/>
      <c r="L7" s="75"/>
      <c r="M7" s="75"/>
    </row>
    <row r="8" spans="1:13" s="9" customFormat="1" ht="35.1" customHeight="1" x14ac:dyDescent="0.3">
      <c r="A8" s="333"/>
      <c r="B8" s="241" t="s">
        <v>16</v>
      </c>
      <c r="C8" s="241" t="s">
        <v>507</v>
      </c>
      <c r="D8" s="178" t="s">
        <v>514</v>
      </c>
      <c r="E8" s="178" t="s">
        <v>515</v>
      </c>
      <c r="F8" s="178" t="s">
        <v>533</v>
      </c>
      <c r="G8" s="178" t="s">
        <v>534</v>
      </c>
      <c r="H8" s="241" t="s">
        <v>16</v>
      </c>
      <c r="I8" s="241" t="str">
        <f>C8</f>
        <v>2022. évi előirányzat</v>
      </c>
      <c r="J8" s="241" t="str">
        <f>D8</f>
        <v>2022.06 előirányzat módosítás</v>
      </c>
      <c r="K8" s="241" t="str">
        <f>E8</f>
        <v>2022.06 módosított előirányzat</v>
      </c>
      <c r="L8" s="241" t="str">
        <f>F8</f>
        <v>2022.09 előirányzat módosítás</v>
      </c>
      <c r="M8" s="241" t="str">
        <f>G8</f>
        <v>2022.09 módosított előirányzat</v>
      </c>
    </row>
    <row r="9" spans="1:13" ht="17.100000000000001" customHeight="1" x14ac:dyDescent="0.3">
      <c r="A9" s="40" t="s">
        <v>17</v>
      </c>
      <c r="B9" s="40" t="s">
        <v>286</v>
      </c>
      <c r="C9" s="39">
        <f>+C10</f>
        <v>108487500</v>
      </c>
      <c r="D9" s="39">
        <f>2584323+43438884-7916809</f>
        <v>38106398</v>
      </c>
      <c r="E9" s="39">
        <f>C9+D9</f>
        <v>146593898</v>
      </c>
      <c r="F9" s="39">
        <f>22500184-22500184</f>
        <v>0</v>
      </c>
      <c r="G9" s="39">
        <f>E9+F9</f>
        <v>146593898</v>
      </c>
      <c r="H9" s="40" t="s">
        <v>179</v>
      </c>
      <c r="I9" s="39">
        <f>+'1. Mérlegszerű'!N42+'1. Mérlegszerű'!N47+'1. Mérlegszerű'!N52</f>
        <v>354841000</v>
      </c>
      <c r="J9" s="39">
        <f>58019000+952500-7916809</f>
        <v>51054691</v>
      </c>
      <c r="K9" s="39">
        <f>I9+J9</f>
        <v>405895691</v>
      </c>
      <c r="L9" s="39">
        <f>27680000+1000000+845000</f>
        <v>29525000</v>
      </c>
      <c r="M9" s="39">
        <f>K9+L9</f>
        <v>435420691</v>
      </c>
    </row>
    <row r="10" spans="1:13" ht="17.100000000000001" customHeight="1" x14ac:dyDescent="0.3">
      <c r="A10" s="40" t="s">
        <v>18</v>
      </c>
      <c r="B10" s="40" t="s">
        <v>287</v>
      </c>
      <c r="C10" s="39">
        <f>+'1. Mérlegszerű'!E42</f>
        <v>108487500</v>
      </c>
      <c r="D10" s="39"/>
      <c r="E10" s="39">
        <f t="shared" ref="E10:E28" si="0">C10+D10</f>
        <v>108487500</v>
      </c>
      <c r="F10" s="39"/>
      <c r="G10" s="39">
        <f t="shared" ref="G10:G15" si="1">E10+F10</f>
        <v>108487500</v>
      </c>
      <c r="H10" s="40" t="s">
        <v>288</v>
      </c>
      <c r="I10" s="39"/>
      <c r="J10" s="39"/>
      <c r="K10" s="39">
        <f t="shared" ref="K10:K30" si="2">I10+J10</f>
        <v>0</v>
      </c>
      <c r="L10" s="39"/>
      <c r="M10" s="39">
        <f t="shared" ref="M10:M30" si="3">K10+L10</f>
        <v>0</v>
      </c>
    </row>
    <row r="11" spans="1:13" ht="17.100000000000001" customHeight="1" x14ac:dyDescent="0.3">
      <c r="A11" s="40" t="s">
        <v>242</v>
      </c>
      <c r="B11" s="40" t="s">
        <v>74</v>
      </c>
      <c r="C11" s="39">
        <v>12000000</v>
      </c>
      <c r="D11" s="39"/>
      <c r="E11" s="39">
        <f t="shared" si="0"/>
        <v>12000000</v>
      </c>
      <c r="F11" s="39"/>
      <c r="G11" s="39">
        <f t="shared" si="1"/>
        <v>12000000</v>
      </c>
      <c r="H11" s="40" t="s">
        <v>187</v>
      </c>
      <c r="I11" s="39">
        <f>+'1. Mérlegszerű'!N43</f>
        <v>66001000</v>
      </c>
      <c r="J11" s="39">
        <f>5001000</f>
        <v>5001000</v>
      </c>
      <c r="K11" s="39">
        <f t="shared" si="2"/>
        <v>71002000</v>
      </c>
      <c r="L11" s="39">
        <f>1300000</f>
        <v>1300000</v>
      </c>
      <c r="M11" s="39">
        <f t="shared" si="3"/>
        <v>72302000</v>
      </c>
    </row>
    <row r="12" spans="1:13" ht="17.100000000000001" customHeight="1" x14ac:dyDescent="0.3">
      <c r="A12" s="40" t="s">
        <v>245</v>
      </c>
      <c r="B12" s="40" t="s">
        <v>289</v>
      </c>
      <c r="C12" s="39"/>
      <c r="D12" s="39"/>
      <c r="E12" s="39">
        <f t="shared" si="0"/>
        <v>0</v>
      </c>
      <c r="F12" s="39"/>
      <c r="G12" s="39">
        <f t="shared" si="1"/>
        <v>0</v>
      </c>
      <c r="H12" s="40" t="s">
        <v>290</v>
      </c>
      <c r="I12" s="39"/>
      <c r="J12" s="39"/>
      <c r="K12" s="39">
        <f t="shared" si="2"/>
        <v>0</v>
      </c>
      <c r="L12" s="39"/>
      <c r="M12" s="39">
        <f t="shared" si="3"/>
        <v>0</v>
      </c>
    </row>
    <row r="13" spans="1:13" ht="17.100000000000001" customHeight="1" x14ac:dyDescent="0.3">
      <c r="A13" s="40" t="s">
        <v>246</v>
      </c>
      <c r="B13" s="40" t="s">
        <v>291</v>
      </c>
      <c r="C13" s="39"/>
      <c r="D13" s="39"/>
      <c r="E13" s="39">
        <f t="shared" si="0"/>
        <v>0</v>
      </c>
      <c r="F13" s="39"/>
      <c r="G13" s="39">
        <f t="shared" si="1"/>
        <v>0</v>
      </c>
      <c r="H13" s="40" t="s">
        <v>292</v>
      </c>
      <c r="I13" s="39"/>
      <c r="J13" s="39"/>
      <c r="K13" s="39">
        <f t="shared" si="2"/>
        <v>0</v>
      </c>
      <c r="L13" s="39"/>
      <c r="M13" s="39">
        <f t="shared" si="3"/>
        <v>0</v>
      </c>
    </row>
    <row r="14" spans="1:13" ht="17.100000000000001" customHeight="1" x14ac:dyDescent="0.3">
      <c r="A14" s="40" t="s">
        <v>247</v>
      </c>
      <c r="B14" s="40" t="s">
        <v>293</v>
      </c>
      <c r="C14" s="39"/>
      <c r="D14" s="39"/>
      <c r="E14" s="39">
        <f t="shared" si="0"/>
        <v>0</v>
      </c>
      <c r="F14" s="39"/>
      <c r="G14" s="39">
        <f t="shared" si="1"/>
        <v>0</v>
      </c>
      <c r="H14" s="40" t="s">
        <v>248</v>
      </c>
      <c r="I14" s="39"/>
      <c r="J14" s="39"/>
      <c r="K14" s="39">
        <f t="shared" si="2"/>
        <v>0</v>
      </c>
      <c r="L14" s="39"/>
      <c r="M14" s="39">
        <f t="shared" si="3"/>
        <v>0</v>
      </c>
    </row>
    <row r="15" spans="1:13" ht="17.100000000000001" customHeight="1" x14ac:dyDescent="0.3">
      <c r="A15" s="40"/>
      <c r="B15" s="40"/>
      <c r="C15" s="39"/>
      <c r="D15" s="39"/>
      <c r="E15" s="39">
        <f t="shared" si="0"/>
        <v>0</v>
      </c>
      <c r="F15" s="39"/>
      <c r="G15" s="39">
        <f t="shared" si="1"/>
        <v>0</v>
      </c>
      <c r="H15" s="40"/>
      <c r="I15" s="39"/>
      <c r="J15" s="39"/>
      <c r="K15" s="39">
        <f t="shared" si="2"/>
        <v>0</v>
      </c>
      <c r="L15" s="39"/>
      <c r="M15" s="39">
        <f t="shared" si="3"/>
        <v>0</v>
      </c>
    </row>
    <row r="16" spans="1:13" ht="17.100000000000001" customHeight="1" x14ac:dyDescent="0.3">
      <c r="A16" s="42" t="s">
        <v>249</v>
      </c>
      <c r="B16" s="42" t="s">
        <v>388</v>
      </c>
      <c r="C16" s="43">
        <f>+C9+C11+C12+C14</f>
        <v>120487500</v>
      </c>
      <c r="D16" s="43">
        <f t="shared" ref="D16:E16" si="4">+D9+D11+D12+D14</f>
        <v>38106398</v>
      </c>
      <c r="E16" s="43">
        <f t="shared" si="4"/>
        <v>158593898</v>
      </c>
      <c r="F16" s="43">
        <f t="shared" ref="F16:G16" si="5">+F9+F11+F12+F14</f>
        <v>0</v>
      </c>
      <c r="G16" s="43">
        <f t="shared" si="5"/>
        <v>158593898</v>
      </c>
      <c r="H16" s="42" t="s">
        <v>392</v>
      </c>
      <c r="I16" s="43">
        <f>SUM(I9,I11,I14,I15)</f>
        <v>420842000</v>
      </c>
      <c r="J16" s="43">
        <f t="shared" ref="J16:L16" si="6">SUM(J9,J11,J14,J15)</f>
        <v>56055691</v>
      </c>
      <c r="K16" s="43">
        <f t="shared" si="2"/>
        <v>476897691</v>
      </c>
      <c r="L16" s="43">
        <f t="shared" si="6"/>
        <v>30825000</v>
      </c>
      <c r="M16" s="43">
        <f t="shared" si="3"/>
        <v>507722691</v>
      </c>
    </row>
    <row r="17" spans="1:13" ht="17.100000000000001" customHeight="1" x14ac:dyDescent="0.3">
      <c r="A17" s="40" t="s">
        <v>251</v>
      </c>
      <c r="B17" s="40" t="s">
        <v>389</v>
      </c>
      <c r="C17" s="48">
        <f>+C18+C19+C20+C21+C22</f>
        <v>300354500</v>
      </c>
      <c r="D17" s="48">
        <f t="shared" ref="D17:E17" si="7">+D18+D19+D20+D21+D22</f>
        <v>17949293</v>
      </c>
      <c r="E17" s="48">
        <f t="shared" si="7"/>
        <v>318303793</v>
      </c>
      <c r="F17" s="48">
        <f t="shared" ref="F17:G17" si="8">+F18+F19+F20+F21+F22</f>
        <v>30825000</v>
      </c>
      <c r="G17" s="48">
        <f t="shared" si="8"/>
        <v>349128793</v>
      </c>
      <c r="H17" s="40" t="s">
        <v>254</v>
      </c>
      <c r="I17" s="39"/>
      <c r="J17" s="39"/>
      <c r="K17" s="39">
        <f t="shared" si="2"/>
        <v>0</v>
      </c>
      <c r="L17" s="39"/>
      <c r="M17" s="39">
        <f t="shared" si="3"/>
        <v>0</v>
      </c>
    </row>
    <row r="18" spans="1:13" ht="17.100000000000001" customHeight="1" x14ac:dyDescent="0.3">
      <c r="A18" s="40" t="s">
        <v>252</v>
      </c>
      <c r="B18" s="47" t="s">
        <v>294</v>
      </c>
      <c r="C18" s="39">
        <f>+'1. Mérlegszerű'!E61</f>
        <v>300354500</v>
      </c>
      <c r="D18" s="39">
        <f>16996793+952500</f>
        <v>17949293</v>
      </c>
      <c r="E18" s="39">
        <f t="shared" si="0"/>
        <v>318303793</v>
      </c>
      <c r="F18" s="39">
        <f>30825000</f>
        <v>30825000</v>
      </c>
      <c r="G18" s="39">
        <f t="shared" ref="G18:G28" si="9">E18+F18</f>
        <v>349128793</v>
      </c>
      <c r="H18" s="40" t="s">
        <v>257</v>
      </c>
      <c r="I18" s="39"/>
      <c r="J18" s="39"/>
      <c r="K18" s="39">
        <f t="shared" si="2"/>
        <v>0</v>
      </c>
      <c r="L18" s="39"/>
      <c r="M18" s="39">
        <f t="shared" si="3"/>
        <v>0</v>
      </c>
    </row>
    <row r="19" spans="1:13" ht="17.100000000000001" customHeight="1" x14ac:dyDescent="0.3">
      <c r="A19" s="40" t="s">
        <v>253</v>
      </c>
      <c r="B19" s="47" t="s">
        <v>295</v>
      </c>
      <c r="C19" s="39"/>
      <c r="D19" s="39"/>
      <c r="E19" s="39">
        <f t="shared" si="0"/>
        <v>0</v>
      </c>
      <c r="F19" s="39"/>
      <c r="G19" s="39">
        <f t="shared" si="9"/>
        <v>0</v>
      </c>
      <c r="H19" s="40" t="s">
        <v>260</v>
      </c>
      <c r="I19" s="39"/>
      <c r="J19" s="39"/>
      <c r="K19" s="39">
        <f t="shared" si="2"/>
        <v>0</v>
      </c>
      <c r="L19" s="39"/>
      <c r="M19" s="39">
        <f t="shared" si="3"/>
        <v>0</v>
      </c>
    </row>
    <row r="20" spans="1:13" ht="17.100000000000001" customHeight="1" x14ac:dyDescent="0.3">
      <c r="A20" s="40" t="s">
        <v>255</v>
      </c>
      <c r="B20" s="47" t="s">
        <v>296</v>
      </c>
      <c r="C20" s="39"/>
      <c r="D20" s="39"/>
      <c r="E20" s="39">
        <f t="shared" si="0"/>
        <v>0</v>
      </c>
      <c r="F20" s="39"/>
      <c r="G20" s="39">
        <f t="shared" si="9"/>
        <v>0</v>
      </c>
      <c r="H20" s="40" t="s">
        <v>263</v>
      </c>
      <c r="I20" s="39"/>
      <c r="J20" s="39"/>
      <c r="K20" s="39">
        <f t="shared" si="2"/>
        <v>0</v>
      </c>
      <c r="L20" s="39"/>
      <c r="M20" s="39">
        <f t="shared" si="3"/>
        <v>0</v>
      </c>
    </row>
    <row r="21" spans="1:13" ht="17.100000000000001" customHeight="1" x14ac:dyDescent="0.3">
      <c r="A21" s="40" t="s">
        <v>258</v>
      </c>
      <c r="B21" s="47" t="s">
        <v>297</v>
      </c>
      <c r="C21" s="39"/>
      <c r="D21" s="39"/>
      <c r="E21" s="39">
        <f t="shared" si="0"/>
        <v>0</v>
      </c>
      <c r="F21" s="39"/>
      <c r="G21" s="39">
        <f t="shared" si="9"/>
        <v>0</v>
      </c>
      <c r="H21" s="40" t="s">
        <v>266</v>
      </c>
      <c r="I21" s="39"/>
      <c r="J21" s="39"/>
      <c r="K21" s="39">
        <f t="shared" si="2"/>
        <v>0</v>
      </c>
      <c r="L21" s="39"/>
      <c r="M21" s="39">
        <f t="shared" si="3"/>
        <v>0</v>
      </c>
    </row>
    <row r="22" spans="1:13" ht="17.100000000000001" customHeight="1" x14ac:dyDescent="0.3">
      <c r="A22" s="40" t="s">
        <v>261</v>
      </c>
      <c r="B22" s="47" t="s">
        <v>298</v>
      </c>
      <c r="C22" s="39"/>
      <c r="D22" s="39"/>
      <c r="E22" s="39">
        <f t="shared" si="0"/>
        <v>0</v>
      </c>
      <c r="F22" s="39"/>
      <c r="G22" s="39">
        <f t="shared" si="9"/>
        <v>0</v>
      </c>
      <c r="H22" s="40" t="s">
        <v>299</v>
      </c>
      <c r="I22" s="39"/>
      <c r="J22" s="39"/>
      <c r="K22" s="39">
        <f t="shared" si="2"/>
        <v>0</v>
      </c>
      <c r="L22" s="39"/>
      <c r="M22" s="39">
        <f t="shared" si="3"/>
        <v>0</v>
      </c>
    </row>
    <row r="23" spans="1:13" ht="17.100000000000001" customHeight="1" x14ac:dyDescent="0.3">
      <c r="A23" s="40" t="s">
        <v>264</v>
      </c>
      <c r="B23" s="40" t="s">
        <v>390</v>
      </c>
      <c r="C23" s="48">
        <f>+C24+C25+C26+C27+C28</f>
        <v>0</v>
      </c>
      <c r="D23" s="48"/>
      <c r="E23" s="48">
        <f t="shared" si="0"/>
        <v>0</v>
      </c>
      <c r="F23" s="48"/>
      <c r="G23" s="48">
        <f t="shared" si="9"/>
        <v>0</v>
      </c>
      <c r="H23" s="40" t="s">
        <v>300</v>
      </c>
      <c r="I23" s="39"/>
      <c r="J23" s="39"/>
      <c r="K23" s="39">
        <f t="shared" si="2"/>
        <v>0</v>
      </c>
      <c r="L23" s="39"/>
      <c r="M23" s="39">
        <f t="shared" si="3"/>
        <v>0</v>
      </c>
    </row>
    <row r="24" spans="1:13" ht="17.100000000000001" customHeight="1" x14ac:dyDescent="0.3">
      <c r="A24" s="40" t="s">
        <v>267</v>
      </c>
      <c r="B24" s="47" t="s">
        <v>301</v>
      </c>
      <c r="C24" s="39"/>
      <c r="D24" s="39"/>
      <c r="E24" s="39">
        <f t="shared" si="0"/>
        <v>0</v>
      </c>
      <c r="F24" s="39"/>
      <c r="G24" s="39">
        <f t="shared" si="9"/>
        <v>0</v>
      </c>
      <c r="H24" s="40" t="s">
        <v>302</v>
      </c>
      <c r="I24" s="39"/>
      <c r="J24" s="39"/>
      <c r="K24" s="39">
        <f t="shared" si="2"/>
        <v>0</v>
      </c>
      <c r="L24" s="39"/>
      <c r="M24" s="39">
        <f t="shared" si="3"/>
        <v>0</v>
      </c>
    </row>
    <row r="25" spans="1:13" ht="17.100000000000001" customHeight="1" x14ac:dyDescent="0.3">
      <c r="A25" s="40" t="s">
        <v>269</v>
      </c>
      <c r="B25" s="47" t="s">
        <v>303</v>
      </c>
      <c r="C25" s="39"/>
      <c r="D25" s="39"/>
      <c r="E25" s="39">
        <f t="shared" si="0"/>
        <v>0</v>
      </c>
      <c r="F25" s="39"/>
      <c r="G25" s="39">
        <f t="shared" si="9"/>
        <v>0</v>
      </c>
      <c r="H25" s="41"/>
      <c r="I25" s="39"/>
      <c r="J25" s="39"/>
      <c r="K25" s="39">
        <f t="shared" si="2"/>
        <v>0</v>
      </c>
      <c r="L25" s="39"/>
      <c r="M25" s="39">
        <f t="shared" si="3"/>
        <v>0</v>
      </c>
    </row>
    <row r="26" spans="1:13" ht="17.100000000000001" customHeight="1" x14ac:dyDescent="0.3">
      <c r="A26" s="40" t="s">
        <v>272</v>
      </c>
      <c r="B26" s="47" t="s">
        <v>304</v>
      </c>
      <c r="C26" s="39"/>
      <c r="D26" s="39"/>
      <c r="E26" s="39">
        <f t="shared" si="0"/>
        <v>0</v>
      </c>
      <c r="F26" s="39"/>
      <c r="G26" s="39">
        <f t="shared" si="9"/>
        <v>0</v>
      </c>
      <c r="H26" s="41"/>
      <c r="I26" s="39"/>
      <c r="J26" s="39"/>
      <c r="K26" s="39">
        <f t="shared" si="2"/>
        <v>0</v>
      </c>
      <c r="L26" s="39"/>
      <c r="M26" s="39">
        <f t="shared" si="3"/>
        <v>0</v>
      </c>
    </row>
    <row r="27" spans="1:13" ht="17.100000000000001" customHeight="1" x14ac:dyDescent="0.3">
      <c r="A27" s="40" t="s">
        <v>275</v>
      </c>
      <c r="B27" s="47" t="s">
        <v>305</v>
      </c>
      <c r="C27" s="39"/>
      <c r="D27" s="39"/>
      <c r="E27" s="39">
        <f t="shared" si="0"/>
        <v>0</v>
      </c>
      <c r="F27" s="39"/>
      <c r="G27" s="39">
        <f t="shared" si="9"/>
        <v>0</v>
      </c>
      <c r="H27" s="41"/>
      <c r="I27" s="39"/>
      <c r="J27" s="39"/>
      <c r="K27" s="39">
        <f t="shared" si="2"/>
        <v>0</v>
      </c>
      <c r="L27" s="39"/>
      <c r="M27" s="39">
        <f t="shared" si="3"/>
        <v>0</v>
      </c>
    </row>
    <row r="28" spans="1:13" ht="17.100000000000001" customHeight="1" x14ac:dyDescent="0.3">
      <c r="A28" s="40" t="s">
        <v>278</v>
      </c>
      <c r="B28" s="47" t="s">
        <v>306</v>
      </c>
      <c r="C28" s="39"/>
      <c r="D28" s="39"/>
      <c r="E28" s="39">
        <f t="shared" si="0"/>
        <v>0</v>
      </c>
      <c r="F28" s="39"/>
      <c r="G28" s="39">
        <f t="shared" si="9"/>
        <v>0</v>
      </c>
      <c r="H28" s="41"/>
      <c r="I28" s="39"/>
      <c r="J28" s="39"/>
      <c r="K28" s="39">
        <f t="shared" si="2"/>
        <v>0</v>
      </c>
      <c r="L28" s="39"/>
      <c r="M28" s="39">
        <f t="shared" si="3"/>
        <v>0</v>
      </c>
    </row>
    <row r="29" spans="1:13" ht="17.100000000000001" customHeight="1" x14ac:dyDescent="0.3">
      <c r="A29" s="42" t="s">
        <v>281</v>
      </c>
      <c r="B29" s="42" t="s">
        <v>391</v>
      </c>
      <c r="C29" s="43">
        <f>+C17+C23</f>
        <v>300354500</v>
      </c>
      <c r="D29" s="43">
        <f t="shared" ref="D29:E29" si="10">+D17+D23</f>
        <v>17949293</v>
      </c>
      <c r="E29" s="43">
        <f t="shared" si="10"/>
        <v>318303793</v>
      </c>
      <c r="F29" s="43">
        <f t="shared" ref="F29:G29" si="11">+F17+F23</f>
        <v>30825000</v>
      </c>
      <c r="G29" s="43">
        <f t="shared" si="11"/>
        <v>349128793</v>
      </c>
      <c r="H29" s="42" t="s">
        <v>393</v>
      </c>
      <c r="I29" s="43">
        <v>0</v>
      </c>
      <c r="J29" s="43">
        <v>0</v>
      </c>
      <c r="K29" s="43">
        <f t="shared" si="2"/>
        <v>0</v>
      </c>
      <c r="L29" s="43">
        <v>0</v>
      </c>
      <c r="M29" s="43">
        <f t="shared" si="3"/>
        <v>0</v>
      </c>
    </row>
    <row r="30" spans="1:13" ht="17.100000000000001" customHeight="1" x14ac:dyDescent="0.3">
      <c r="A30" s="339" t="s">
        <v>396</v>
      </c>
      <c r="B30" s="340"/>
      <c r="C30" s="45">
        <f>+C16+C29</f>
        <v>420842000</v>
      </c>
      <c r="D30" s="45">
        <f t="shared" ref="D30:E30" si="12">+D16+D29</f>
        <v>56055691</v>
      </c>
      <c r="E30" s="45">
        <f t="shared" si="12"/>
        <v>476897691</v>
      </c>
      <c r="F30" s="45">
        <f t="shared" ref="F30:G30" si="13">+F16+F29</f>
        <v>30825000</v>
      </c>
      <c r="G30" s="45">
        <f t="shared" si="13"/>
        <v>507722691</v>
      </c>
      <c r="H30" s="44" t="s">
        <v>397</v>
      </c>
      <c r="I30" s="45">
        <f>+I16+I29</f>
        <v>420842000</v>
      </c>
      <c r="J30" s="45">
        <f t="shared" ref="J30:L30" si="14">+J16+J29</f>
        <v>56055691</v>
      </c>
      <c r="K30" s="45">
        <f t="shared" si="2"/>
        <v>476897691</v>
      </c>
      <c r="L30" s="45">
        <f t="shared" si="14"/>
        <v>30825000</v>
      </c>
      <c r="M30" s="45">
        <f t="shared" si="3"/>
        <v>507722691</v>
      </c>
    </row>
    <row r="31" spans="1:13" ht="17.100000000000001" customHeight="1" x14ac:dyDescent="0.3">
      <c r="A31" s="339" t="s">
        <v>282</v>
      </c>
      <c r="B31" s="340"/>
      <c r="C31" s="45">
        <f>IF(C16-I16&lt;0,I16-C16,"-")</f>
        <v>300354500</v>
      </c>
      <c r="D31" s="45">
        <f>IF(D16-J16&lt;0,J16-D16,"-")</f>
        <v>17949293</v>
      </c>
      <c r="E31" s="45">
        <f>IF(E16-K16&lt;0,K16-E16,"-")</f>
        <v>318303793</v>
      </c>
      <c r="F31" s="45">
        <f>IF(F16-L16&lt;0,L16-F16,"-")</f>
        <v>30825000</v>
      </c>
      <c r="G31" s="45">
        <f>IF(G16-M16&lt;0,M16-G16,"-")</f>
        <v>349128793</v>
      </c>
      <c r="H31" s="44" t="s">
        <v>283</v>
      </c>
      <c r="I31" s="45" t="str">
        <f>IF(I16-K15&lt;0,K15-I16,"-")</f>
        <v>-</v>
      </c>
      <c r="J31" s="45" t="str">
        <f t="shared" ref="J31:K31" si="15">IF(J16-L15&lt;0,L15-J16,"-")</f>
        <v>-</v>
      </c>
      <c r="K31" s="45" t="str">
        <f t="shared" si="15"/>
        <v>-</v>
      </c>
      <c r="L31" s="45" t="str">
        <f t="shared" ref="L31:L32" si="16">IF(L16-N15&lt;0,N15-L16,"-")</f>
        <v>-</v>
      </c>
      <c r="M31" s="45" t="str">
        <f t="shared" ref="M31:M32" si="17">IF(M16-O15&lt;0,O15-M16,"-")</f>
        <v>-</v>
      </c>
    </row>
    <row r="32" spans="1:13" ht="14.4" x14ac:dyDescent="0.3">
      <c r="A32" s="339" t="s">
        <v>284</v>
      </c>
      <c r="B32" s="340"/>
      <c r="C32" s="45" t="s">
        <v>307</v>
      </c>
      <c r="D32" s="45" t="s">
        <v>307</v>
      </c>
      <c r="E32" s="45" t="s">
        <v>307</v>
      </c>
      <c r="F32" s="45" t="s">
        <v>307</v>
      </c>
      <c r="G32" s="45" t="s">
        <v>307</v>
      </c>
      <c r="H32" s="44" t="s">
        <v>285</v>
      </c>
      <c r="I32" s="45">
        <f>IF(I17-K16&lt;0,K16-I17,"-")</f>
        <v>476897691</v>
      </c>
      <c r="J32" s="45">
        <f t="shared" ref="J32:K32" si="18">IF(J17-L16&lt;0,L16-J17,"-")</f>
        <v>30825000</v>
      </c>
      <c r="K32" s="45">
        <f t="shared" si="18"/>
        <v>507722691</v>
      </c>
      <c r="L32" s="45" t="str">
        <f t="shared" si="16"/>
        <v>-</v>
      </c>
      <c r="M32" s="45" t="str">
        <f t="shared" si="17"/>
        <v>-</v>
      </c>
    </row>
  </sheetData>
  <mergeCells count="9">
    <mergeCell ref="A32:B32"/>
    <mergeCell ref="A6:B6"/>
    <mergeCell ref="A7:A8"/>
    <mergeCell ref="A2:I2"/>
    <mergeCell ref="A3:I3"/>
    <mergeCell ref="A4:I4"/>
    <mergeCell ref="A30:B30"/>
    <mergeCell ref="A31:B31"/>
    <mergeCell ref="A5:B5"/>
  </mergeCells>
  <phoneticPr fontId="49" type="noConversion"/>
  <printOptions horizontalCentered="1"/>
  <pageMargins left="0.78740157480314965" right="0.78740157480314965" top="0.49" bottom="0.79" header="0.49" footer="0.78740157480314965"/>
  <pageSetup paperSize="9" scale="4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I12"/>
  <sheetViews>
    <sheetView zoomScaleNormal="100" zoomScaleSheetLayoutView="80" workbookViewId="0">
      <selection activeCell="A5" sqref="A5:B5"/>
    </sheetView>
  </sheetViews>
  <sheetFormatPr defaultColWidth="9.21875" defaultRowHeight="15" x14ac:dyDescent="0.25"/>
  <cols>
    <col min="1" max="1" width="8.44140625" style="249" customWidth="1"/>
    <col min="2" max="2" width="44.44140625" style="249" customWidth="1"/>
    <col min="3" max="3" width="5.44140625" style="249" hidden="1" customWidth="1"/>
    <col min="4" max="8" width="21.21875" style="249" customWidth="1"/>
    <col min="9" max="9" width="40" style="249" customWidth="1"/>
    <col min="10" max="16384" width="9.21875" style="249"/>
  </cols>
  <sheetData>
    <row r="2" spans="1:9" ht="15.6" x14ac:dyDescent="0.3">
      <c r="A2" s="343" t="s">
        <v>354</v>
      </c>
      <c r="B2" s="343"/>
      <c r="C2" s="343"/>
      <c r="D2" s="343"/>
      <c r="E2" s="343"/>
      <c r="F2" s="343"/>
      <c r="G2" s="343"/>
      <c r="H2" s="343"/>
      <c r="I2" s="343"/>
    </row>
    <row r="3" spans="1:9" ht="15.6" x14ac:dyDescent="0.3">
      <c r="A3" s="343" t="s">
        <v>327</v>
      </c>
      <c r="B3" s="344"/>
      <c r="C3" s="344"/>
      <c r="D3" s="344"/>
      <c r="E3" s="344"/>
      <c r="F3" s="344"/>
      <c r="G3" s="344"/>
      <c r="H3" s="344"/>
      <c r="I3" s="344"/>
    </row>
    <row r="4" spans="1:9" ht="15.6" x14ac:dyDescent="0.3">
      <c r="A4" s="303" t="s">
        <v>575</v>
      </c>
      <c r="B4" s="303"/>
      <c r="C4" s="250"/>
      <c r="D4" s="250"/>
      <c r="E4" s="250"/>
      <c r="F4" s="250"/>
      <c r="G4" s="250"/>
      <c r="H4" s="250"/>
      <c r="I4" s="250"/>
    </row>
    <row r="5" spans="1:9" ht="15.75" customHeight="1" x14ac:dyDescent="0.3">
      <c r="A5" s="303" t="s">
        <v>563</v>
      </c>
      <c r="B5" s="303"/>
      <c r="C5" s="250"/>
      <c r="D5" s="250"/>
      <c r="E5" s="250"/>
      <c r="F5" s="250"/>
      <c r="G5" s="250"/>
      <c r="H5" s="250"/>
      <c r="I5" s="251" t="s">
        <v>15</v>
      </c>
    </row>
    <row r="6" spans="1:9" ht="31.2" x14ac:dyDescent="0.25">
      <c r="A6" s="252" t="s">
        <v>362</v>
      </c>
      <c r="B6" s="252" t="s">
        <v>308</v>
      </c>
      <c r="C6" s="252"/>
      <c r="D6" s="252" t="s">
        <v>507</v>
      </c>
      <c r="E6" s="252" t="s">
        <v>514</v>
      </c>
      <c r="F6" s="252" t="s">
        <v>515</v>
      </c>
      <c r="G6" s="252" t="s">
        <v>533</v>
      </c>
      <c r="H6" s="252" t="s">
        <v>534</v>
      </c>
      <c r="I6" s="252" t="s">
        <v>309</v>
      </c>
    </row>
    <row r="7" spans="1:9" ht="17.100000000000001" customHeight="1" x14ac:dyDescent="0.3">
      <c r="A7" s="253" t="s">
        <v>310</v>
      </c>
      <c r="B7" s="254" t="s">
        <v>311</v>
      </c>
      <c r="C7" s="255"/>
      <c r="D7" s="256">
        <v>12000000</v>
      </c>
      <c r="E7" s="256"/>
      <c r="F7" s="256">
        <f>D7+E7</f>
        <v>12000000</v>
      </c>
      <c r="G7" s="256">
        <v>-9000000</v>
      </c>
      <c r="H7" s="256">
        <f>F7+G7</f>
        <v>3000000</v>
      </c>
      <c r="I7" s="257" t="s">
        <v>469</v>
      </c>
    </row>
    <row r="8" spans="1:9" ht="17.100000000000001" customHeight="1" x14ac:dyDescent="0.3">
      <c r="A8" s="253" t="s">
        <v>312</v>
      </c>
      <c r="B8" s="254" t="s">
        <v>313</v>
      </c>
      <c r="C8" s="258"/>
      <c r="D8" s="256">
        <v>20624413</v>
      </c>
      <c r="E8" s="256">
        <f>-14229332-952500-350000</f>
        <v>-15531832</v>
      </c>
      <c r="F8" s="256">
        <f t="shared" ref="F8" si="0">D8+E8</f>
        <v>5092581</v>
      </c>
      <c r="G8" s="256">
        <f>-600360+1300000+2560000</f>
        <v>3259640</v>
      </c>
      <c r="H8" s="256">
        <f t="shared" ref="H8" si="1">F8+G8</f>
        <v>8352221</v>
      </c>
      <c r="I8" s="257" t="s">
        <v>469</v>
      </c>
    </row>
    <row r="9" spans="1:9" s="268" customFormat="1" ht="17.100000000000001" customHeight="1" x14ac:dyDescent="0.3">
      <c r="A9" s="263"/>
      <c r="B9" s="264" t="s">
        <v>546</v>
      </c>
      <c r="C9" s="265"/>
      <c r="D9" s="266"/>
      <c r="E9" s="266"/>
      <c r="F9" s="266"/>
      <c r="G9" s="266"/>
      <c r="H9" s="266">
        <f>H8-H10</f>
        <v>3352221</v>
      </c>
      <c r="I9" s="267" t="s">
        <v>469</v>
      </c>
    </row>
    <row r="10" spans="1:9" s="268" customFormat="1" ht="17.100000000000001" customHeight="1" x14ac:dyDescent="0.3">
      <c r="A10" s="263"/>
      <c r="B10" s="264"/>
      <c r="C10" s="265"/>
      <c r="D10" s="266"/>
      <c r="E10" s="266"/>
      <c r="F10" s="266"/>
      <c r="G10" s="266"/>
      <c r="H10" s="266">
        <v>5000000</v>
      </c>
      <c r="I10" s="267" t="s">
        <v>547</v>
      </c>
    </row>
    <row r="11" spans="1:9" ht="33" customHeight="1" x14ac:dyDescent="0.25">
      <c r="A11" s="345" t="s">
        <v>400</v>
      </c>
      <c r="B11" s="346"/>
      <c r="C11" s="259"/>
      <c r="D11" s="260">
        <f>D7+D8</f>
        <v>32624413</v>
      </c>
      <c r="E11" s="260">
        <f t="shared" ref="E11:F11" si="2">E7+E8</f>
        <v>-15531832</v>
      </c>
      <c r="F11" s="260">
        <f t="shared" si="2"/>
        <v>17092581</v>
      </c>
      <c r="G11" s="260">
        <f t="shared" ref="G11:H11" si="3">G7+G8</f>
        <v>-5740360</v>
      </c>
      <c r="H11" s="260">
        <f t="shared" si="3"/>
        <v>11352221</v>
      </c>
      <c r="I11" s="261"/>
    </row>
    <row r="12" spans="1:9" ht="16.5" customHeight="1" x14ac:dyDescent="0.3">
      <c r="A12" s="262"/>
      <c r="B12" s="262"/>
      <c r="C12" s="262"/>
      <c r="D12" s="262"/>
      <c r="E12" s="262"/>
      <c r="F12" s="262"/>
      <c r="G12" s="262"/>
      <c r="H12" s="262"/>
      <c r="I12" s="262"/>
    </row>
  </sheetData>
  <mergeCells count="5">
    <mergeCell ref="A2:I2"/>
    <mergeCell ref="A5:B5"/>
    <mergeCell ref="A3:I3"/>
    <mergeCell ref="A11:B11"/>
    <mergeCell ref="A4:B4"/>
  </mergeCells>
  <phoneticPr fontId="49" type="noConversion"/>
  <printOptions horizontalCentered="1"/>
  <pageMargins left="0.23622047244094491" right="0.23622047244094491" top="1.51" bottom="0.19685039370078741" header="0.94" footer="0.19685039370078741"/>
  <pageSetup paperSize="9" scale="7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98"/>
  <sheetViews>
    <sheetView zoomScaleNormal="100" zoomScaleSheetLayoutView="90" workbookViewId="0">
      <selection activeCell="A4" sqref="A4:C4"/>
    </sheetView>
  </sheetViews>
  <sheetFormatPr defaultColWidth="9.21875" defaultRowHeight="13.2" x14ac:dyDescent="0.25"/>
  <cols>
    <col min="1" max="1" width="3.77734375" style="163" bestFit="1" customWidth="1"/>
    <col min="2" max="2" width="58.5546875" style="163" bestFit="1" customWidth="1"/>
    <col min="3" max="3" width="14.5546875" style="163" bestFit="1" customWidth="1"/>
    <col min="4" max="14" width="14.21875" style="163" bestFit="1" customWidth="1"/>
    <col min="15" max="15" width="12.5546875" style="163" bestFit="1" customWidth="1"/>
    <col min="16" max="16" width="16.77734375" style="163" customWidth="1"/>
    <col min="17" max="16384" width="9.21875" style="163"/>
  </cols>
  <sheetData>
    <row r="1" spans="1:20" s="160" customFormat="1" ht="18" x14ac:dyDescent="0.35">
      <c r="A1" s="354" t="s">
        <v>363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159"/>
      <c r="Q1" s="159"/>
      <c r="R1" s="159"/>
      <c r="S1" s="159"/>
      <c r="T1" s="159"/>
    </row>
    <row r="2" spans="1:20" s="160" customFormat="1" ht="18" x14ac:dyDescent="0.35">
      <c r="A2" s="351" t="s">
        <v>521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159"/>
      <c r="Q2" s="159"/>
      <c r="R2" s="159"/>
      <c r="S2" s="159"/>
      <c r="T2" s="159"/>
    </row>
    <row r="3" spans="1:20" s="160" customFormat="1" ht="14.4" x14ac:dyDescent="0.3">
      <c r="A3" s="303" t="s">
        <v>576</v>
      </c>
      <c r="B3" s="303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20" s="160" customFormat="1" ht="14.1" customHeight="1" x14ac:dyDescent="0.3">
      <c r="A4" s="332" t="s">
        <v>513</v>
      </c>
      <c r="B4" s="332"/>
      <c r="C4" s="332"/>
      <c r="D4" s="242"/>
      <c r="E4" s="242"/>
      <c r="F4" s="27"/>
      <c r="G4" s="27"/>
      <c r="H4" s="27"/>
      <c r="I4" s="27"/>
      <c r="J4" s="27"/>
      <c r="K4" s="27"/>
      <c r="L4" s="27"/>
      <c r="M4" s="27"/>
      <c r="N4" s="353" t="s">
        <v>15</v>
      </c>
      <c r="O4" s="353"/>
    </row>
    <row r="5" spans="1:20" ht="28.35" customHeight="1" x14ac:dyDescent="0.25">
      <c r="A5" s="161" t="s">
        <v>362</v>
      </c>
      <c r="B5" s="162" t="s">
        <v>16</v>
      </c>
      <c r="C5" s="162" t="s">
        <v>364</v>
      </c>
      <c r="D5" s="162" t="s">
        <v>365</v>
      </c>
      <c r="E5" s="162" t="s">
        <v>366</v>
      </c>
      <c r="F5" s="162" t="s">
        <v>367</v>
      </c>
      <c r="G5" s="162" t="s">
        <v>368</v>
      </c>
      <c r="H5" s="162" t="s">
        <v>369</v>
      </c>
      <c r="I5" s="162" t="s">
        <v>370</v>
      </c>
      <c r="J5" s="162" t="s">
        <v>371</v>
      </c>
      <c r="K5" s="162" t="s">
        <v>372</v>
      </c>
      <c r="L5" s="162" t="s">
        <v>373</v>
      </c>
      <c r="M5" s="162" t="s">
        <v>374</v>
      </c>
      <c r="N5" s="162" t="s">
        <v>375</v>
      </c>
      <c r="O5" s="162" t="s">
        <v>314</v>
      </c>
    </row>
    <row r="6" spans="1:20" ht="17.100000000000001" customHeight="1" x14ac:dyDescent="0.3">
      <c r="A6" s="164"/>
      <c r="B6" s="165" t="s">
        <v>316</v>
      </c>
      <c r="C6" s="166">
        <f>160660+391488009+57791+925947+3080+12000+91182494+78420000+1091613+402762</f>
        <v>563744356</v>
      </c>
      <c r="D6" s="166">
        <f>C31</f>
        <v>566800017.08333337</v>
      </c>
      <c r="E6" s="166">
        <f t="shared" ref="E6" si="0">D31</f>
        <v>512379276.16666669</v>
      </c>
      <c r="F6" s="166">
        <f t="shared" ref="F6" si="1">E31</f>
        <v>499641035.25000006</v>
      </c>
      <c r="G6" s="166">
        <f t="shared" ref="G6" si="2">F31</f>
        <v>442720294.33333343</v>
      </c>
      <c r="H6" s="166">
        <f t="shared" ref="H6" si="3">G31</f>
        <v>388299553.41666681</v>
      </c>
      <c r="I6" s="166">
        <f t="shared" ref="I6" si="4">H31</f>
        <v>333878812.50000018</v>
      </c>
      <c r="J6" s="166">
        <f t="shared" ref="J6" si="5">I31</f>
        <v>279458071.58333355</v>
      </c>
      <c r="K6" s="166">
        <f t="shared" ref="K6" si="6">J31</f>
        <v>225037330.66666695</v>
      </c>
      <c r="L6" s="166">
        <f t="shared" ref="L6" si="7">K31</f>
        <v>170616589.75000033</v>
      </c>
      <c r="M6" s="166">
        <f t="shared" ref="M6" si="8">L31</f>
        <v>116195848.8333337</v>
      </c>
      <c r="N6" s="166">
        <f t="shared" ref="N6" si="9">M31</f>
        <v>61775107.916667052</v>
      </c>
      <c r="O6" s="164"/>
    </row>
    <row r="7" spans="1:20" ht="17.100000000000001" customHeight="1" x14ac:dyDescent="0.3">
      <c r="A7" s="167" t="s">
        <v>17</v>
      </c>
      <c r="B7" s="168" t="s">
        <v>56</v>
      </c>
      <c r="C7" s="169">
        <f>142728758/12</f>
        <v>11894063.166666666</v>
      </c>
      <c r="D7" s="169">
        <f t="shared" ref="D7:N7" si="10">142728758/12</f>
        <v>11894063.166666666</v>
      </c>
      <c r="E7" s="169">
        <f t="shared" si="10"/>
        <v>11894063.166666666</v>
      </c>
      <c r="F7" s="169">
        <f t="shared" si="10"/>
        <v>11894063.166666666</v>
      </c>
      <c r="G7" s="169">
        <f t="shared" si="10"/>
        <v>11894063.166666666</v>
      </c>
      <c r="H7" s="169">
        <f t="shared" si="10"/>
        <v>11894063.166666666</v>
      </c>
      <c r="I7" s="169">
        <f t="shared" si="10"/>
        <v>11894063.166666666</v>
      </c>
      <c r="J7" s="169">
        <f t="shared" si="10"/>
        <v>11894063.166666666</v>
      </c>
      <c r="K7" s="169">
        <f t="shared" si="10"/>
        <v>11894063.166666666</v>
      </c>
      <c r="L7" s="169">
        <f t="shared" si="10"/>
        <v>11894063.166666666</v>
      </c>
      <c r="M7" s="169">
        <f t="shared" si="10"/>
        <v>11894063.166666666</v>
      </c>
      <c r="N7" s="169">
        <f t="shared" si="10"/>
        <v>11894063.166666666</v>
      </c>
      <c r="O7" s="170">
        <f t="shared" ref="O7:O15" si="11">SUM(C7:N7)</f>
        <v>142728758.00000003</v>
      </c>
      <c r="P7" s="105"/>
    </row>
    <row r="8" spans="1:20" ht="17.100000000000001" customHeight="1" x14ac:dyDescent="0.3">
      <c r="A8" s="167" t="s">
        <v>18</v>
      </c>
      <c r="B8" s="168" t="s">
        <v>46</v>
      </c>
      <c r="C8" s="169">
        <f>134050000/12</f>
        <v>11170833.333333334</v>
      </c>
      <c r="D8" s="169">
        <f t="shared" ref="D8:N8" si="12">134050000/12</f>
        <v>11170833.333333334</v>
      </c>
      <c r="E8" s="169">
        <f t="shared" si="12"/>
        <v>11170833.333333334</v>
      </c>
      <c r="F8" s="169">
        <f t="shared" si="12"/>
        <v>11170833.333333334</v>
      </c>
      <c r="G8" s="169">
        <f t="shared" si="12"/>
        <v>11170833.333333334</v>
      </c>
      <c r="H8" s="169">
        <f t="shared" si="12"/>
        <v>11170833.333333334</v>
      </c>
      <c r="I8" s="169">
        <f t="shared" si="12"/>
        <v>11170833.333333334</v>
      </c>
      <c r="J8" s="169">
        <f t="shared" si="12"/>
        <v>11170833.333333334</v>
      </c>
      <c r="K8" s="169">
        <f t="shared" si="12"/>
        <v>11170833.333333334</v>
      </c>
      <c r="L8" s="169">
        <f t="shared" si="12"/>
        <v>11170833.333333334</v>
      </c>
      <c r="M8" s="169">
        <f t="shared" si="12"/>
        <v>11170833.333333334</v>
      </c>
      <c r="N8" s="169">
        <f t="shared" si="12"/>
        <v>11170833.333333334</v>
      </c>
      <c r="O8" s="170">
        <f t="shared" si="11"/>
        <v>134049999.99999999</v>
      </c>
      <c r="P8" s="105"/>
    </row>
    <row r="9" spans="1:20" ht="17.100000000000001" customHeight="1" x14ac:dyDescent="0.3">
      <c r="A9" s="167" t="s">
        <v>242</v>
      </c>
      <c r="B9" s="168" t="s">
        <v>317</v>
      </c>
      <c r="C9" s="169">
        <f>321498753/12</f>
        <v>26791562.75</v>
      </c>
      <c r="D9" s="169">
        <f t="shared" ref="D9:N9" si="13">321498753/12</f>
        <v>26791562.75</v>
      </c>
      <c r="E9" s="169">
        <f t="shared" si="13"/>
        <v>26791562.75</v>
      </c>
      <c r="F9" s="169">
        <f t="shared" si="13"/>
        <v>26791562.75</v>
      </c>
      <c r="G9" s="169">
        <f t="shared" si="13"/>
        <v>26791562.75</v>
      </c>
      <c r="H9" s="169">
        <f t="shared" si="13"/>
        <v>26791562.75</v>
      </c>
      <c r="I9" s="169">
        <f t="shared" si="13"/>
        <v>26791562.75</v>
      </c>
      <c r="J9" s="169">
        <f t="shared" si="13"/>
        <v>26791562.75</v>
      </c>
      <c r="K9" s="169">
        <f t="shared" si="13"/>
        <v>26791562.75</v>
      </c>
      <c r="L9" s="169">
        <f t="shared" si="13"/>
        <v>26791562.75</v>
      </c>
      <c r="M9" s="169">
        <f t="shared" si="13"/>
        <v>26791562.75</v>
      </c>
      <c r="N9" s="169">
        <f t="shared" si="13"/>
        <v>26791562.75</v>
      </c>
      <c r="O9" s="170">
        <f t="shared" si="11"/>
        <v>321498753</v>
      </c>
      <c r="P9" s="105"/>
    </row>
    <row r="10" spans="1:20" ht="17.100000000000001" customHeight="1" x14ac:dyDescent="0.3">
      <c r="A10" s="167" t="s">
        <v>245</v>
      </c>
      <c r="B10" s="168" t="s">
        <v>78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70">
        <f t="shared" si="11"/>
        <v>0</v>
      </c>
    </row>
    <row r="11" spans="1:20" ht="17.100000000000001" customHeight="1" x14ac:dyDescent="0.3">
      <c r="A11" s="167" t="s">
        <v>246</v>
      </c>
      <c r="B11" s="171" t="s">
        <v>74</v>
      </c>
      <c r="C11" s="169"/>
      <c r="D11" s="169"/>
      <c r="E11" s="169"/>
      <c r="F11" s="169">
        <v>12000000</v>
      </c>
      <c r="G11" s="169"/>
      <c r="H11" s="169"/>
      <c r="I11" s="169"/>
      <c r="J11" s="169"/>
      <c r="K11" s="169"/>
      <c r="L11" s="169"/>
      <c r="M11" s="169"/>
      <c r="N11" s="169"/>
      <c r="O11" s="170">
        <f t="shared" si="11"/>
        <v>12000000</v>
      </c>
    </row>
    <row r="12" spans="1:20" ht="17.100000000000001" customHeight="1" x14ac:dyDescent="0.3">
      <c r="A12" s="167" t="s">
        <v>247</v>
      </c>
      <c r="B12" s="171" t="s">
        <v>318</v>
      </c>
      <c r="C12" s="169">
        <v>66805000</v>
      </c>
      <c r="E12" s="169">
        <f>24064100+17618400</f>
        <v>41682500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70">
        <f t="shared" si="11"/>
        <v>108487500</v>
      </c>
    </row>
    <row r="13" spans="1:20" ht="17.100000000000001" customHeight="1" x14ac:dyDescent="0.3">
      <c r="A13" s="167" t="s">
        <v>249</v>
      </c>
      <c r="B13" s="171" t="s">
        <v>319</v>
      </c>
      <c r="C13" s="169">
        <f>560000000/12</f>
        <v>46666666.666666664</v>
      </c>
      <c r="D13" s="169">
        <f t="shared" ref="D13:N13" si="14">560000000/12</f>
        <v>46666666.666666664</v>
      </c>
      <c r="E13" s="169">
        <f t="shared" si="14"/>
        <v>46666666.666666664</v>
      </c>
      <c r="F13" s="169">
        <f t="shared" si="14"/>
        <v>46666666.666666664</v>
      </c>
      <c r="G13" s="169">
        <f t="shared" si="14"/>
        <v>46666666.666666664</v>
      </c>
      <c r="H13" s="169">
        <f t="shared" si="14"/>
        <v>46666666.666666664</v>
      </c>
      <c r="I13" s="169">
        <f t="shared" si="14"/>
        <v>46666666.666666664</v>
      </c>
      <c r="J13" s="169">
        <f t="shared" si="14"/>
        <v>46666666.666666664</v>
      </c>
      <c r="K13" s="169">
        <f t="shared" si="14"/>
        <v>46666666.666666664</v>
      </c>
      <c r="L13" s="169">
        <f t="shared" si="14"/>
        <v>46666666.666666664</v>
      </c>
      <c r="M13" s="169">
        <f t="shared" si="14"/>
        <v>46666666.666666664</v>
      </c>
      <c r="N13" s="169">
        <f t="shared" si="14"/>
        <v>46666666.666666664</v>
      </c>
      <c r="O13" s="170">
        <f t="shared" si="11"/>
        <v>560000000.00000012</v>
      </c>
    </row>
    <row r="14" spans="1:20" ht="17.100000000000001" customHeight="1" x14ac:dyDescent="0.3">
      <c r="A14" s="167" t="s">
        <v>251</v>
      </c>
      <c r="B14" s="171" t="s">
        <v>92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70">
        <f t="shared" si="11"/>
        <v>0</v>
      </c>
    </row>
    <row r="15" spans="1:20" ht="17.100000000000001" customHeight="1" x14ac:dyDescent="0.3">
      <c r="A15" s="167" t="s">
        <v>252</v>
      </c>
      <c r="B15" s="171" t="s">
        <v>90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70">
        <f t="shared" si="11"/>
        <v>0</v>
      </c>
    </row>
    <row r="16" spans="1:20" s="173" customFormat="1" ht="17.100000000000001" customHeight="1" x14ac:dyDescent="0.3">
      <c r="A16" s="349" t="s">
        <v>396</v>
      </c>
      <c r="B16" s="350"/>
      <c r="C16" s="172">
        <f>SUM(C7:C15)</f>
        <v>163328125.91666666</v>
      </c>
      <c r="D16" s="172">
        <f t="shared" ref="D16:O16" si="15">SUM(D7:D15)</f>
        <v>96523125.916666657</v>
      </c>
      <c r="E16" s="172">
        <f t="shared" si="15"/>
        <v>138205625.91666666</v>
      </c>
      <c r="F16" s="172">
        <f t="shared" si="15"/>
        <v>108523125.91666666</v>
      </c>
      <c r="G16" s="172">
        <f t="shared" si="15"/>
        <v>96523125.916666657</v>
      </c>
      <c r="H16" s="172">
        <f t="shared" si="15"/>
        <v>96523125.916666657</v>
      </c>
      <c r="I16" s="172">
        <f t="shared" si="15"/>
        <v>96523125.916666657</v>
      </c>
      <c r="J16" s="172">
        <f t="shared" si="15"/>
        <v>96523125.916666657</v>
      </c>
      <c r="K16" s="172">
        <f t="shared" si="15"/>
        <v>96523125.916666657</v>
      </c>
      <c r="L16" s="172">
        <f t="shared" si="15"/>
        <v>96523125.916666657</v>
      </c>
      <c r="M16" s="172">
        <f t="shared" si="15"/>
        <v>96523125.916666657</v>
      </c>
      <c r="N16" s="172">
        <f t="shared" si="15"/>
        <v>96523125.916666657</v>
      </c>
      <c r="O16" s="172">
        <f t="shared" si="15"/>
        <v>1278765011</v>
      </c>
    </row>
    <row r="17" spans="1:15" ht="17.100000000000001" customHeight="1" x14ac:dyDescent="0.3">
      <c r="A17" s="164"/>
      <c r="B17" s="165" t="s">
        <v>238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4"/>
    </row>
    <row r="18" spans="1:15" ht="17.100000000000001" customHeight="1" x14ac:dyDescent="0.3">
      <c r="A18" s="167" t="s">
        <v>253</v>
      </c>
      <c r="B18" s="174" t="s">
        <v>98</v>
      </c>
      <c r="C18" s="175">
        <f>208615000/12</f>
        <v>17384583.333333332</v>
      </c>
      <c r="D18" s="175">
        <f t="shared" ref="D18:N18" si="16">208615000/12</f>
        <v>17384583.333333332</v>
      </c>
      <c r="E18" s="175">
        <f t="shared" si="16"/>
        <v>17384583.333333332</v>
      </c>
      <c r="F18" s="175">
        <f t="shared" si="16"/>
        <v>17384583.333333332</v>
      </c>
      <c r="G18" s="175">
        <f t="shared" si="16"/>
        <v>17384583.333333332</v>
      </c>
      <c r="H18" s="175">
        <f t="shared" si="16"/>
        <v>17384583.333333332</v>
      </c>
      <c r="I18" s="175">
        <f t="shared" si="16"/>
        <v>17384583.333333332</v>
      </c>
      <c r="J18" s="175">
        <f t="shared" si="16"/>
        <v>17384583.333333332</v>
      </c>
      <c r="K18" s="175">
        <f t="shared" si="16"/>
        <v>17384583.333333332</v>
      </c>
      <c r="L18" s="175">
        <f t="shared" si="16"/>
        <v>17384583.333333332</v>
      </c>
      <c r="M18" s="175">
        <f t="shared" si="16"/>
        <v>17384583.333333332</v>
      </c>
      <c r="N18" s="175">
        <f t="shared" si="16"/>
        <v>17384583.333333332</v>
      </c>
      <c r="O18" s="170">
        <f t="shared" ref="O18:O23" si="17">SUM(C18:N18)</f>
        <v>208615000.00000003</v>
      </c>
    </row>
    <row r="19" spans="1:15" ht="17.100000000000001" customHeight="1" x14ac:dyDescent="0.3">
      <c r="A19" s="167" t="s">
        <v>255</v>
      </c>
      <c r="B19" s="174" t="s">
        <v>320</v>
      </c>
      <c r="C19" s="175">
        <f>31084000/12</f>
        <v>2590333.3333333335</v>
      </c>
      <c r="D19" s="175">
        <f t="shared" ref="D19:N19" si="18">31084000/12</f>
        <v>2590333.3333333335</v>
      </c>
      <c r="E19" s="175">
        <f t="shared" si="18"/>
        <v>2590333.3333333335</v>
      </c>
      <c r="F19" s="175">
        <f t="shared" si="18"/>
        <v>2590333.3333333335</v>
      </c>
      <c r="G19" s="175">
        <f t="shared" si="18"/>
        <v>2590333.3333333335</v>
      </c>
      <c r="H19" s="175">
        <f t="shared" si="18"/>
        <v>2590333.3333333335</v>
      </c>
      <c r="I19" s="175">
        <f t="shared" si="18"/>
        <v>2590333.3333333335</v>
      </c>
      <c r="J19" s="175">
        <f t="shared" si="18"/>
        <v>2590333.3333333335</v>
      </c>
      <c r="K19" s="175">
        <f t="shared" si="18"/>
        <v>2590333.3333333335</v>
      </c>
      <c r="L19" s="175">
        <f t="shared" si="18"/>
        <v>2590333.3333333335</v>
      </c>
      <c r="M19" s="175">
        <f t="shared" si="18"/>
        <v>2590333.3333333335</v>
      </c>
      <c r="N19" s="175">
        <f t="shared" si="18"/>
        <v>2590333.3333333335</v>
      </c>
      <c r="O19" s="170">
        <f t="shared" si="17"/>
        <v>31083999.999999996</v>
      </c>
    </row>
    <row r="20" spans="1:15" ht="17.100000000000001" customHeight="1" x14ac:dyDescent="0.3">
      <c r="A20" s="167" t="s">
        <v>258</v>
      </c>
      <c r="B20" s="171" t="s">
        <v>123</v>
      </c>
      <c r="C20" s="175">
        <f>419283000/12</f>
        <v>34940250</v>
      </c>
      <c r="D20" s="175">
        <f t="shared" ref="D20:N20" si="19">419283000/12</f>
        <v>34940250</v>
      </c>
      <c r="E20" s="175">
        <f t="shared" si="19"/>
        <v>34940250</v>
      </c>
      <c r="F20" s="175">
        <f t="shared" si="19"/>
        <v>34940250</v>
      </c>
      <c r="G20" s="175">
        <f t="shared" si="19"/>
        <v>34940250</v>
      </c>
      <c r="H20" s="175">
        <f t="shared" si="19"/>
        <v>34940250</v>
      </c>
      <c r="I20" s="175">
        <f t="shared" si="19"/>
        <v>34940250</v>
      </c>
      <c r="J20" s="175">
        <f t="shared" si="19"/>
        <v>34940250</v>
      </c>
      <c r="K20" s="175">
        <f t="shared" si="19"/>
        <v>34940250</v>
      </c>
      <c r="L20" s="175">
        <f t="shared" si="19"/>
        <v>34940250</v>
      </c>
      <c r="M20" s="175">
        <f t="shared" si="19"/>
        <v>34940250</v>
      </c>
      <c r="N20" s="175">
        <f t="shared" si="19"/>
        <v>34940250</v>
      </c>
      <c r="O20" s="170">
        <f t="shared" si="17"/>
        <v>419283000</v>
      </c>
    </row>
    <row r="21" spans="1:15" ht="17.100000000000001" customHeight="1" x14ac:dyDescent="0.3">
      <c r="A21" s="167" t="s">
        <v>261</v>
      </c>
      <c r="B21" s="176" t="s">
        <v>161</v>
      </c>
      <c r="C21" s="175">
        <f>8400000/12</f>
        <v>700000</v>
      </c>
      <c r="D21" s="175">
        <f t="shared" ref="D21:N21" si="20">8400000/12</f>
        <v>700000</v>
      </c>
      <c r="E21" s="175">
        <f t="shared" si="20"/>
        <v>700000</v>
      </c>
      <c r="F21" s="175">
        <f t="shared" si="20"/>
        <v>700000</v>
      </c>
      <c r="G21" s="175">
        <f t="shared" si="20"/>
        <v>700000</v>
      </c>
      <c r="H21" s="175">
        <f t="shared" si="20"/>
        <v>700000</v>
      </c>
      <c r="I21" s="175">
        <f t="shared" si="20"/>
        <v>700000</v>
      </c>
      <c r="J21" s="175">
        <f t="shared" si="20"/>
        <v>700000</v>
      </c>
      <c r="K21" s="175">
        <f t="shared" si="20"/>
        <v>700000</v>
      </c>
      <c r="L21" s="175">
        <f t="shared" si="20"/>
        <v>700000</v>
      </c>
      <c r="M21" s="175">
        <f t="shared" si="20"/>
        <v>700000</v>
      </c>
      <c r="N21" s="175">
        <f t="shared" si="20"/>
        <v>700000</v>
      </c>
      <c r="O21" s="170">
        <f t="shared" si="17"/>
        <v>8400000</v>
      </c>
    </row>
    <row r="22" spans="1:15" ht="17.100000000000001" customHeight="1" x14ac:dyDescent="0.3">
      <c r="A22" s="167" t="s">
        <v>264</v>
      </c>
      <c r="B22" s="176" t="s">
        <v>491</v>
      </c>
      <c r="C22" s="175"/>
      <c r="D22" s="175"/>
      <c r="E22" s="175"/>
      <c r="F22" s="175">
        <v>2500000</v>
      </c>
      <c r="G22" s="175"/>
      <c r="H22" s="175"/>
      <c r="I22" s="175"/>
      <c r="J22" s="175"/>
      <c r="K22" s="175"/>
      <c r="L22" s="175"/>
      <c r="M22" s="175"/>
      <c r="N22" s="175"/>
      <c r="O22" s="170">
        <f t="shared" si="17"/>
        <v>2500000</v>
      </c>
    </row>
    <row r="23" spans="1:15" ht="17.100000000000001" customHeight="1" x14ac:dyDescent="0.3">
      <c r="A23" s="167" t="s">
        <v>267</v>
      </c>
      <c r="B23" s="176" t="s">
        <v>321</v>
      </c>
      <c r="C23" s="175">
        <f>(148588000-2500000)/12</f>
        <v>12174000</v>
      </c>
      <c r="D23" s="175">
        <f t="shared" ref="D23:N23" si="21">(148588000-2500000)/12</f>
        <v>12174000</v>
      </c>
      <c r="E23" s="175">
        <f t="shared" si="21"/>
        <v>12174000</v>
      </c>
      <c r="F23" s="175">
        <f t="shared" si="21"/>
        <v>12174000</v>
      </c>
      <c r="G23" s="175">
        <f t="shared" si="21"/>
        <v>12174000</v>
      </c>
      <c r="H23" s="175">
        <f t="shared" si="21"/>
        <v>12174000</v>
      </c>
      <c r="I23" s="175">
        <f t="shared" si="21"/>
        <v>12174000</v>
      </c>
      <c r="J23" s="175">
        <f t="shared" si="21"/>
        <v>12174000</v>
      </c>
      <c r="K23" s="175">
        <f t="shared" si="21"/>
        <v>12174000</v>
      </c>
      <c r="L23" s="175">
        <f t="shared" si="21"/>
        <v>12174000</v>
      </c>
      <c r="M23" s="175">
        <f t="shared" si="21"/>
        <v>12174000</v>
      </c>
      <c r="N23" s="175">
        <f t="shared" si="21"/>
        <v>12174000</v>
      </c>
      <c r="O23" s="170">
        <f t="shared" si="17"/>
        <v>146088000</v>
      </c>
    </row>
    <row r="24" spans="1:15" ht="17.100000000000001" customHeight="1" x14ac:dyDescent="0.3">
      <c r="A24" s="167" t="s">
        <v>269</v>
      </c>
      <c r="B24" s="171" t="s">
        <v>322</v>
      </c>
      <c r="C24" s="175">
        <f>17014402/12</f>
        <v>1417866.8333333333</v>
      </c>
      <c r="D24" s="175">
        <f t="shared" ref="D24:M24" si="22">17014402/12</f>
        <v>1417866.8333333333</v>
      </c>
      <c r="E24" s="175">
        <f t="shared" si="22"/>
        <v>1417866.8333333333</v>
      </c>
      <c r="F24" s="175">
        <f>17014402/12+12000000</f>
        <v>13417866.833333334</v>
      </c>
      <c r="G24" s="175">
        <f t="shared" si="22"/>
        <v>1417866.8333333333</v>
      </c>
      <c r="H24" s="175">
        <f t="shared" si="22"/>
        <v>1417866.8333333333</v>
      </c>
      <c r="I24" s="175">
        <f t="shared" si="22"/>
        <v>1417866.8333333333</v>
      </c>
      <c r="J24" s="175">
        <f t="shared" si="22"/>
        <v>1417866.8333333333</v>
      </c>
      <c r="K24" s="175">
        <f t="shared" si="22"/>
        <v>1417866.8333333333</v>
      </c>
      <c r="L24" s="175">
        <f t="shared" si="22"/>
        <v>1417866.8333333333</v>
      </c>
      <c r="M24" s="175">
        <f t="shared" si="22"/>
        <v>1417866.8333333333</v>
      </c>
      <c r="N24" s="175">
        <f>17014402/12+3610011</f>
        <v>5027877.833333333</v>
      </c>
      <c r="O24" s="170">
        <f>SUM(C24:N24)</f>
        <v>32624412.999999993</v>
      </c>
    </row>
    <row r="25" spans="1:15" ht="17.100000000000001" customHeight="1" x14ac:dyDescent="0.3">
      <c r="A25" s="167" t="s">
        <v>272</v>
      </c>
      <c r="B25" s="171" t="s">
        <v>179</v>
      </c>
      <c r="C25" s="175">
        <f>354841000/12</f>
        <v>29570083.333333332</v>
      </c>
      <c r="D25" s="175">
        <f t="shared" ref="D25:N25" si="23">354841000/12</f>
        <v>29570083.333333332</v>
      </c>
      <c r="E25" s="175">
        <f t="shared" si="23"/>
        <v>29570083.333333332</v>
      </c>
      <c r="F25" s="175">
        <f t="shared" si="23"/>
        <v>29570083.333333332</v>
      </c>
      <c r="G25" s="175">
        <f t="shared" si="23"/>
        <v>29570083.333333332</v>
      </c>
      <c r="H25" s="175">
        <f t="shared" si="23"/>
        <v>29570083.333333332</v>
      </c>
      <c r="I25" s="175">
        <f t="shared" si="23"/>
        <v>29570083.333333332</v>
      </c>
      <c r="J25" s="175">
        <f t="shared" si="23"/>
        <v>29570083.333333332</v>
      </c>
      <c r="K25" s="175">
        <f t="shared" si="23"/>
        <v>29570083.333333332</v>
      </c>
      <c r="L25" s="175">
        <f t="shared" si="23"/>
        <v>29570083.333333332</v>
      </c>
      <c r="M25" s="175">
        <f t="shared" si="23"/>
        <v>29570083.333333332</v>
      </c>
      <c r="N25" s="175">
        <f t="shared" si="23"/>
        <v>29570083.333333332</v>
      </c>
      <c r="O25" s="170">
        <f t="shared" ref="O25:O27" si="24">SUM(C25:N25)</f>
        <v>354841000</v>
      </c>
    </row>
    <row r="26" spans="1:15" ht="17.100000000000001" customHeight="1" x14ac:dyDescent="0.3">
      <c r="A26" s="167" t="s">
        <v>275</v>
      </c>
      <c r="B26" s="171" t="s">
        <v>187</v>
      </c>
      <c r="C26" s="175">
        <f>66001000/12</f>
        <v>5500083.333333333</v>
      </c>
      <c r="D26" s="175">
        <f t="shared" ref="D26:N26" si="25">66001000/12</f>
        <v>5500083.333333333</v>
      </c>
      <c r="E26" s="175">
        <f t="shared" si="25"/>
        <v>5500083.333333333</v>
      </c>
      <c r="F26" s="175">
        <f t="shared" si="25"/>
        <v>5500083.333333333</v>
      </c>
      <c r="G26" s="175">
        <f t="shared" si="25"/>
        <v>5500083.333333333</v>
      </c>
      <c r="H26" s="175">
        <f t="shared" si="25"/>
        <v>5500083.333333333</v>
      </c>
      <c r="I26" s="175">
        <f t="shared" si="25"/>
        <v>5500083.333333333</v>
      </c>
      <c r="J26" s="175">
        <f t="shared" si="25"/>
        <v>5500083.333333333</v>
      </c>
      <c r="K26" s="175">
        <f t="shared" si="25"/>
        <v>5500083.333333333</v>
      </c>
      <c r="L26" s="175">
        <f t="shared" si="25"/>
        <v>5500083.333333333</v>
      </c>
      <c r="M26" s="175">
        <f t="shared" si="25"/>
        <v>5500083.333333333</v>
      </c>
      <c r="N26" s="175">
        <f t="shared" si="25"/>
        <v>5500083.333333333</v>
      </c>
      <c r="O26" s="170">
        <f t="shared" si="24"/>
        <v>66001000.000000007</v>
      </c>
    </row>
    <row r="27" spans="1:15" ht="17.100000000000001" customHeight="1" x14ac:dyDescent="0.3">
      <c r="A27" s="167" t="s">
        <v>278</v>
      </c>
      <c r="B27" s="171" t="s">
        <v>193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0">
        <f t="shared" si="24"/>
        <v>0</v>
      </c>
    </row>
    <row r="28" spans="1:15" ht="17.100000000000001" customHeight="1" x14ac:dyDescent="0.3">
      <c r="A28" s="167" t="s">
        <v>281</v>
      </c>
      <c r="B28" s="171" t="s">
        <v>280</v>
      </c>
      <c r="C28" s="175">
        <f>9328598</f>
        <v>9328598</v>
      </c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0">
        <f>SUM(C28:N28)</f>
        <v>9328598</v>
      </c>
    </row>
    <row r="29" spans="1:15" s="173" customFormat="1" ht="17.100000000000001" customHeight="1" x14ac:dyDescent="0.3">
      <c r="A29" s="167" t="s">
        <v>492</v>
      </c>
      <c r="B29" s="171" t="s">
        <v>203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0"/>
    </row>
    <row r="30" spans="1:15" ht="17.100000000000001" customHeight="1" x14ac:dyDescent="0.3">
      <c r="A30" s="349" t="s">
        <v>397</v>
      </c>
      <c r="B30" s="350"/>
      <c r="C30" s="172">
        <f>SUM(C18:C29)</f>
        <v>113605798.16666664</v>
      </c>
      <c r="D30" s="172">
        <f t="shared" ref="D30:N30" si="26">SUM(D18:D28)</f>
        <v>104277200.16666664</v>
      </c>
      <c r="E30" s="172">
        <f t="shared" si="26"/>
        <v>104277200.16666664</v>
      </c>
      <c r="F30" s="172">
        <f t="shared" si="26"/>
        <v>118777200.16666664</v>
      </c>
      <c r="G30" s="172">
        <f t="shared" si="26"/>
        <v>104277200.16666664</v>
      </c>
      <c r="H30" s="172">
        <f t="shared" si="26"/>
        <v>104277200.16666664</v>
      </c>
      <c r="I30" s="172">
        <f t="shared" si="26"/>
        <v>104277200.16666664</v>
      </c>
      <c r="J30" s="172">
        <f t="shared" si="26"/>
        <v>104277200.16666664</v>
      </c>
      <c r="K30" s="172">
        <f t="shared" si="26"/>
        <v>104277200.16666664</v>
      </c>
      <c r="L30" s="172">
        <f t="shared" si="26"/>
        <v>104277200.16666664</v>
      </c>
      <c r="M30" s="172">
        <f t="shared" si="26"/>
        <v>104277200.16666664</v>
      </c>
      <c r="N30" s="172">
        <f t="shared" si="26"/>
        <v>107887211.16666664</v>
      </c>
      <c r="O30" s="172">
        <f>SUM(O18:O29)</f>
        <v>1278765011</v>
      </c>
    </row>
    <row r="31" spans="1:15" ht="14.4" x14ac:dyDescent="0.3">
      <c r="A31" s="347" t="s">
        <v>401</v>
      </c>
      <c r="B31" s="348"/>
      <c r="C31" s="172">
        <f>C6+C16-C30-C13</f>
        <v>566800017.08333337</v>
      </c>
      <c r="D31" s="172">
        <f t="shared" ref="D31:N31" si="27">D6+D16-D30-D13</f>
        <v>512379276.16666669</v>
      </c>
      <c r="E31" s="172">
        <f t="shared" si="27"/>
        <v>499641035.25000006</v>
      </c>
      <c r="F31" s="172">
        <f t="shared" si="27"/>
        <v>442720294.33333343</v>
      </c>
      <c r="G31" s="172">
        <f t="shared" si="27"/>
        <v>388299553.41666681</v>
      </c>
      <c r="H31" s="172">
        <f t="shared" si="27"/>
        <v>333878812.50000018</v>
      </c>
      <c r="I31" s="172">
        <f t="shared" si="27"/>
        <v>279458071.58333355</v>
      </c>
      <c r="J31" s="172">
        <f t="shared" si="27"/>
        <v>225037330.66666695</v>
      </c>
      <c r="K31" s="172">
        <f t="shared" si="27"/>
        <v>170616589.75000033</v>
      </c>
      <c r="L31" s="172">
        <f t="shared" si="27"/>
        <v>116195848.8333337</v>
      </c>
      <c r="M31" s="172">
        <f t="shared" si="27"/>
        <v>61775107.916667052</v>
      </c>
      <c r="N31" s="172">
        <f t="shared" si="27"/>
        <v>3744356.0000003949</v>
      </c>
      <c r="O31" s="177"/>
    </row>
    <row r="35" spans="1:20" s="160" customFormat="1" ht="18" x14ac:dyDescent="0.35">
      <c r="A35" s="354" t="s">
        <v>363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159"/>
      <c r="Q35" s="159"/>
      <c r="R35" s="159"/>
      <c r="S35" s="159"/>
      <c r="T35" s="159"/>
    </row>
    <row r="36" spans="1:20" s="160" customFormat="1" ht="18" x14ac:dyDescent="0.35">
      <c r="A36" s="351" t="s">
        <v>517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159"/>
      <c r="Q36" s="159"/>
      <c r="R36" s="159"/>
      <c r="S36" s="159"/>
      <c r="T36" s="159"/>
    </row>
    <row r="37" spans="1:20" s="160" customFormat="1" ht="14.4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8"/>
    </row>
    <row r="38" spans="1:20" s="160" customFormat="1" ht="14.1" customHeight="1" x14ac:dyDescent="0.3">
      <c r="A38" s="332" t="s">
        <v>516</v>
      </c>
      <c r="B38" s="332"/>
      <c r="C38" s="332"/>
      <c r="D38" s="242"/>
      <c r="E38" s="242"/>
      <c r="F38" s="27"/>
      <c r="G38" s="27"/>
      <c r="H38" s="27"/>
      <c r="I38" s="27"/>
      <c r="J38" s="27"/>
      <c r="K38" s="27"/>
      <c r="L38" s="27"/>
      <c r="M38" s="27"/>
      <c r="N38" s="353" t="s">
        <v>15</v>
      </c>
      <c r="O38" s="353"/>
    </row>
    <row r="39" spans="1:20" ht="28.35" customHeight="1" x14ac:dyDescent="0.25">
      <c r="A39" s="161" t="s">
        <v>362</v>
      </c>
      <c r="B39" s="162" t="s">
        <v>16</v>
      </c>
      <c r="C39" s="162" t="s">
        <v>364</v>
      </c>
      <c r="D39" s="162" t="s">
        <v>365</v>
      </c>
      <c r="E39" s="162" t="s">
        <v>366</v>
      </c>
      <c r="F39" s="162" t="s">
        <v>367</v>
      </c>
      <c r="G39" s="162" t="s">
        <v>368</v>
      </c>
      <c r="H39" s="162" t="s">
        <v>369</v>
      </c>
      <c r="I39" s="162" t="s">
        <v>370</v>
      </c>
      <c r="J39" s="162" t="s">
        <v>371</v>
      </c>
      <c r="K39" s="162" t="s">
        <v>372</v>
      </c>
      <c r="L39" s="162" t="s">
        <v>373</v>
      </c>
      <c r="M39" s="162" t="s">
        <v>374</v>
      </c>
      <c r="N39" s="162" t="s">
        <v>375</v>
      </c>
      <c r="O39" s="162" t="s">
        <v>314</v>
      </c>
    </row>
    <row r="40" spans="1:20" ht="17.100000000000001" customHeight="1" x14ac:dyDescent="0.3">
      <c r="A40" s="164"/>
      <c r="B40" s="165" t="s">
        <v>316</v>
      </c>
      <c r="C40" s="166">
        <f>160660+391488009+57791+925947+3080+12000+91182494+78420000+1091613+402762</f>
        <v>563744356</v>
      </c>
      <c r="D40" s="166">
        <f>C65</f>
        <v>566800017.08333337</v>
      </c>
      <c r="E40" s="166">
        <f t="shared" ref="E40" si="28">D65</f>
        <v>512379276.16666669</v>
      </c>
      <c r="F40" s="166">
        <f t="shared" ref="F40" si="29">E65</f>
        <v>499641035.25000006</v>
      </c>
      <c r="G40" s="166">
        <f t="shared" ref="G40" si="30">F65</f>
        <v>442720294.33333343</v>
      </c>
      <c r="H40" s="166">
        <f t="shared" ref="H40" si="31">G65</f>
        <v>388299553.41666681</v>
      </c>
      <c r="I40" s="166">
        <f t="shared" ref="I40" si="32">H65</f>
        <v>327557288.50000018</v>
      </c>
      <c r="J40" s="166">
        <f t="shared" ref="J40" si="33">I65</f>
        <v>273136547.58333355</v>
      </c>
      <c r="K40" s="166">
        <f t="shared" ref="K40" si="34">J65</f>
        <v>218715806.66666695</v>
      </c>
      <c r="L40" s="166">
        <f t="shared" ref="L40" si="35">K65</f>
        <v>164295065.75000033</v>
      </c>
      <c r="M40" s="166">
        <f t="shared" ref="M40" si="36">L65</f>
        <v>109874324.8333337</v>
      </c>
      <c r="N40" s="166">
        <f t="shared" ref="N40" si="37">M65</f>
        <v>55453583.916667052</v>
      </c>
      <c r="O40" s="164"/>
    </row>
    <row r="41" spans="1:20" ht="17.100000000000001" customHeight="1" x14ac:dyDescent="0.3">
      <c r="A41" s="167" t="s">
        <v>17</v>
      </c>
      <c r="B41" s="168" t="s">
        <v>56</v>
      </c>
      <c r="C41" s="169">
        <f>142728758/12</f>
        <v>11894063.166666666</v>
      </c>
      <c r="D41" s="169">
        <f t="shared" ref="D41:N41" si="38">142728758/12</f>
        <v>11894063.166666666</v>
      </c>
      <c r="E41" s="169">
        <f t="shared" si="38"/>
        <v>11894063.166666666</v>
      </c>
      <c r="F41" s="169">
        <f t="shared" si="38"/>
        <v>11894063.166666666</v>
      </c>
      <c r="G41" s="169">
        <f t="shared" si="38"/>
        <v>11894063.166666666</v>
      </c>
      <c r="H41" s="169">
        <f>142728758/12+7916736-7916809</f>
        <v>11893990.166666664</v>
      </c>
      <c r="I41" s="169">
        <f t="shared" si="38"/>
        <v>11894063.166666666</v>
      </c>
      <c r="J41" s="169">
        <f t="shared" si="38"/>
        <v>11894063.166666666</v>
      </c>
      <c r="K41" s="169">
        <f t="shared" si="38"/>
        <v>11894063.166666666</v>
      </c>
      <c r="L41" s="169">
        <f t="shared" si="38"/>
        <v>11894063.166666666</v>
      </c>
      <c r="M41" s="169">
        <f t="shared" si="38"/>
        <v>11894063.166666666</v>
      </c>
      <c r="N41" s="169">
        <f t="shared" si="38"/>
        <v>11894063.166666666</v>
      </c>
      <c r="O41" s="170">
        <f t="shared" ref="O41:O49" si="39">SUM(C41:N41)</f>
        <v>142728685.00000003</v>
      </c>
      <c r="P41" s="105"/>
    </row>
    <row r="42" spans="1:20" ht="17.100000000000001" customHeight="1" x14ac:dyDescent="0.3">
      <c r="A42" s="167" t="s">
        <v>18</v>
      </c>
      <c r="B42" s="168" t="s">
        <v>46</v>
      </c>
      <c r="C42" s="169">
        <f>134050000/12</f>
        <v>11170833.333333334</v>
      </c>
      <c r="D42" s="169">
        <f t="shared" ref="D42:N42" si="40">134050000/12</f>
        <v>11170833.333333334</v>
      </c>
      <c r="E42" s="169">
        <f t="shared" si="40"/>
        <v>11170833.333333334</v>
      </c>
      <c r="F42" s="169">
        <f t="shared" si="40"/>
        <v>11170833.333333334</v>
      </c>
      <c r="G42" s="169">
        <f t="shared" si="40"/>
        <v>11170833.333333334</v>
      </c>
      <c r="H42" s="169">
        <f t="shared" si="40"/>
        <v>11170833.333333334</v>
      </c>
      <c r="I42" s="169">
        <f t="shared" si="40"/>
        <v>11170833.333333334</v>
      </c>
      <c r="J42" s="169">
        <f t="shared" si="40"/>
        <v>11170833.333333334</v>
      </c>
      <c r="K42" s="169">
        <f t="shared" si="40"/>
        <v>11170833.333333334</v>
      </c>
      <c r="L42" s="169">
        <f t="shared" si="40"/>
        <v>11170833.333333334</v>
      </c>
      <c r="M42" s="169">
        <f t="shared" si="40"/>
        <v>11170833.333333334</v>
      </c>
      <c r="N42" s="169">
        <f t="shared" si="40"/>
        <v>11170833.333333334</v>
      </c>
      <c r="O42" s="170">
        <f t="shared" si="39"/>
        <v>134049999.99999999</v>
      </c>
      <c r="P42" s="105"/>
    </row>
    <row r="43" spans="1:20" ht="17.100000000000001" customHeight="1" x14ac:dyDescent="0.3">
      <c r="A43" s="167" t="s">
        <v>242</v>
      </c>
      <c r="B43" s="168" t="s">
        <v>317</v>
      </c>
      <c r="C43" s="169">
        <f>321498753/12</f>
        <v>26791562.75</v>
      </c>
      <c r="D43" s="169">
        <f t="shared" ref="D43:N43" si="41">321498753/12</f>
        <v>26791562.75</v>
      </c>
      <c r="E43" s="169">
        <f t="shared" si="41"/>
        <v>26791562.75</v>
      </c>
      <c r="F43" s="169">
        <f t="shared" si="41"/>
        <v>26791562.75</v>
      </c>
      <c r="G43" s="169">
        <f t="shared" si="41"/>
        <v>26791562.75</v>
      </c>
      <c r="H43" s="169">
        <f>321498753/12+24185150-14926500+4072000</f>
        <v>40122212.75</v>
      </c>
      <c r="I43" s="169">
        <f t="shared" si="41"/>
        <v>26791562.75</v>
      </c>
      <c r="J43" s="169">
        <f t="shared" si="41"/>
        <v>26791562.75</v>
      </c>
      <c r="K43" s="169">
        <f t="shared" si="41"/>
        <v>26791562.75</v>
      </c>
      <c r="L43" s="169">
        <f t="shared" si="41"/>
        <v>26791562.75</v>
      </c>
      <c r="M43" s="169">
        <f t="shared" si="41"/>
        <v>26791562.75</v>
      </c>
      <c r="N43" s="169">
        <f t="shared" si="41"/>
        <v>26791562.75</v>
      </c>
      <c r="O43" s="170">
        <f t="shared" si="39"/>
        <v>334829403</v>
      </c>
      <c r="P43" s="105"/>
    </row>
    <row r="44" spans="1:20" ht="17.100000000000001" customHeight="1" x14ac:dyDescent="0.3">
      <c r="A44" s="167" t="s">
        <v>245</v>
      </c>
      <c r="B44" s="168" t="s">
        <v>78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70">
        <f t="shared" si="39"/>
        <v>0</v>
      </c>
    </row>
    <row r="45" spans="1:20" ht="17.100000000000001" customHeight="1" x14ac:dyDescent="0.3">
      <c r="A45" s="167" t="s">
        <v>246</v>
      </c>
      <c r="B45" s="171" t="s">
        <v>74</v>
      </c>
      <c r="C45" s="169"/>
      <c r="D45" s="169"/>
      <c r="E45" s="169"/>
      <c r="F45" s="169">
        <v>12000000</v>
      </c>
      <c r="G45" s="169"/>
      <c r="H45" s="169"/>
      <c r="I45" s="169"/>
      <c r="J45" s="169"/>
      <c r="K45" s="169"/>
      <c r="L45" s="169"/>
      <c r="M45" s="169"/>
      <c r="N45" s="169"/>
      <c r="O45" s="170">
        <f t="shared" si="39"/>
        <v>12000000</v>
      </c>
    </row>
    <row r="46" spans="1:20" ht="17.100000000000001" customHeight="1" x14ac:dyDescent="0.3">
      <c r="A46" s="167" t="s">
        <v>247</v>
      </c>
      <c r="B46" s="171" t="s">
        <v>318</v>
      </c>
      <c r="C46" s="169">
        <v>66805000</v>
      </c>
      <c r="E46" s="169">
        <f>24064100+17618400</f>
        <v>41682500</v>
      </c>
      <c r="F46" s="169"/>
      <c r="G46" s="169"/>
      <c r="H46" s="169">
        <f>2584323+43438884</f>
        <v>46023207</v>
      </c>
      <c r="I46" s="169"/>
      <c r="J46" s="169"/>
      <c r="K46" s="169"/>
      <c r="L46" s="169"/>
      <c r="M46" s="169"/>
      <c r="N46" s="169"/>
      <c r="O46" s="170">
        <f t="shared" si="39"/>
        <v>154510707</v>
      </c>
    </row>
    <row r="47" spans="1:20" ht="17.100000000000001" customHeight="1" x14ac:dyDescent="0.3">
      <c r="A47" s="167" t="s">
        <v>249</v>
      </c>
      <c r="B47" s="171" t="s">
        <v>319</v>
      </c>
      <c r="C47" s="169">
        <f>560000000/12</f>
        <v>46666666.666666664</v>
      </c>
      <c r="D47" s="169">
        <f t="shared" ref="D47:N47" si="42">560000000/12</f>
        <v>46666666.666666664</v>
      </c>
      <c r="E47" s="169">
        <f t="shared" si="42"/>
        <v>46666666.666666664</v>
      </c>
      <c r="F47" s="169">
        <f t="shared" si="42"/>
        <v>46666666.666666664</v>
      </c>
      <c r="G47" s="169">
        <f t="shared" si="42"/>
        <v>46666666.666666664</v>
      </c>
      <c r="H47" s="169">
        <f>560000000/12+2560+1722023+4596941</f>
        <v>52988190.666666664</v>
      </c>
      <c r="I47" s="169">
        <f t="shared" si="42"/>
        <v>46666666.666666664</v>
      </c>
      <c r="J47" s="169">
        <f t="shared" si="42"/>
        <v>46666666.666666664</v>
      </c>
      <c r="K47" s="169">
        <f t="shared" si="42"/>
        <v>46666666.666666664</v>
      </c>
      <c r="L47" s="169">
        <f t="shared" si="42"/>
        <v>46666666.666666664</v>
      </c>
      <c r="M47" s="169">
        <f t="shared" si="42"/>
        <v>46666666.666666664</v>
      </c>
      <c r="N47" s="169">
        <f t="shared" si="42"/>
        <v>46666666.666666664</v>
      </c>
      <c r="O47" s="170">
        <f t="shared" si="39"/>
        <v>566321524.00000012</v>
      </c>
    </row>
    <row r="48" spans="1:20" ht="17.100000000000001" customHeight="1" x14ac:dyDescent="0.3">
      <c r="A48" s="167" t="s">
        <v>251</v>
      </c>
      <c r="B48" s="171" t="s">
        <v>522</v>
      </c>
      <c r="C48" s="169"/>
      <c r="D48" s="169"/>
      <c r="E48" s="169"/>
      <c r="F48" s="169"/>
      <c r="G48" s="169"/>
      <c r="H48" s="169">
        <v>178836</v>
      </c>
      <c r="I48" s="169"/>
      <c r="J48" s="169"/>
      <c r="K48" s="169"/>
      <c r="L48" s="169"/>
      <c r="M48" s="169"/>
      <c r="N48" s="169"/>
      <c r="O48" s="170">
        <f t="shared" si="39"/>
        <v>178836</v>
      </c>
    </row>
    <row r="49" spans="1:15" ht="17.100000000000001" customHeight="1" x14ac:dyDescent="0.3">
      <c r="A49" s="167" t="s">
        <v>252</v>
      </c>
      <c r="B49" s="171" t="s">
        <v>90</v>
      </c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70">
        <f t="shared" si="39"/>
        <v>0</v>
      </c>
    </row>
    <row r="50" spans="1:15" s="173" customFormat="1" ht="17.100000000000001" customHeight="1" x14ac:dyDescent="0.3">
      <c r="A50" s="349" t="s">
        <v>396</v>
      </c>
      <c r="B50" s="350"/>
      <c r="C50" s="172">
        <f>SUM(C41:C49)</f>
        <v>163328125.91666666</v>
      </c>
      <c r="D50" s="172">
        <f t="shared" ref="D50:O50" si="43">SUM(D41:D49)</f>
        <v>96523125.916666657</v>
      </c>
      <c r="E50" s="172">
        <f t="shared" si="43"/>
        <v>138205625.91666666</v>
      </c>
      <c r="F50" s="172">
        <f t="shared" si="43"/>
        <v>108523125.91666666</v>
      </c>
      <c r="G50" s="172">
        <f t="shared" si="43"/>
        <v>96523125.916666657</v>
      </c>
      <c r="H50" s="172">
        <f t="shared" si="43"/>
        <v>162377269.91666666</v>
      </c>
      <c r="I50" s="172">
        <f t="shared" si="43"/>
        <v>96523125.916666657</v>
      </c>
      <c r="J50" s="172">
        <f t="shared" si="43"/>
        <v>96523125.916666657</v>
      </c>
      <c r="K50" s="172">
        <f t="shared" si="43"/>
        <v>96523125.916666657</v>
      </c>
      <c r="L50" s="172">
        <f t="shared" si="43"/>
        <v>96523125.916666657</v>
      </c>
      <c r="M50" s="172">
        <f t="shared" si="43"/>
        <v>96523125.916666657</v>
      </c>
      <c r="N50" s="172">
        <f t="shared" si="43"/>
        <v>96523125.916666657</v>
      </c>
      <c r="O50" s="172">
        <f t="shared" si="43"/>
        <v>1344619155</v>
      </c>
    </row>
    <row r="51" spans="1:15" ht="17.100000000000001" customHeight="1" x14ac:dyDescent="0.3">
      <c r="A51" s="164"/>
      <c r="B51" s="165" t="s">
        <v>238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4"/>
    </row>
    <row r="52" spans="1:15" ht="17.100000000000001" customHeight="1" x14ac:dyDescent="0.3">
      <c r="A52" s="167" t="s">
        <v>253</v>
      </c>
      <c r="B52" s="174" t="s">
        <v>98</v>
      </c>
      <c r="C52" s="175">
        <f>208615000/12</f>
        <v>17384583.333333332</v>
      </c>
      <c r="D52" s="175">
        <f t="shared" ref="D52:N52" si="44">208615000/12</f>
        <v>17384583.333333332</v>
      </c>
      <c r="E52" s="175">
        <f t="shared" si="44"/>
        <v>17384583.333333332</v>
      </c>
      <c r="F52" s="175">
        <f t="shared" si="44"/>
        <v>17384583.333333332</v>
      </c>
      <c r="G52" s="175">
        <f t="shared" si="44"/>
        <v>17384583.333333332</v>
      </c>
      <c r="H52" s="175">
        <f>208615000/12+4928000+3860000</f>
        <v>26172583.333333332</v>
      </c>
      <c r="I52" s="175">
        <f t="shared" si="44"/>
        <v>17384583.333333332</v>
      </c>
      <c r="J52" s="175">
        <f t="shared" si="44"/>
        <v>17384583.333333332</v>
      </c>
      <c r="K52" s="175">
        <f t="shared" si="44"/>
        <v>17384583.333333332</v>
      </c>
      <c r="L52" s="175">
        <f t="shared" si="44"/>
        <v>17384583.333333332</v>
      </c>
      <c r="M52" s="175">
        <f t="shared" si="44"/>
        <v>17384583.333333332</v>
      </c>
      <c r="N52" s="175">
        <f t="shared" si="44"/>
        <v>17384583.333333332</v>
      </c>
      <c r="O52" s="170">
        <f t="shared" ref="O52:O57" si="45">SUM(C52:N52)</f>
        <v>217403000.00000003</v>
      </c>
    </row>
    <row r="53" spans="1:15" ht="17.100000000000001" customHeight="1" x14ac:dyDescent="0.3">
      <c r="A53" s="167" t="s">
        <v>255</v>
      </c>
      <c r="B53" s="174" t="s">
        <v>320</v>
      </c>
      <c r="C53" s="175">
        <f>31084000/12</f>
        <v>2590333.3333333335</v>
      </c>
      <c r="D53" s="175">
        <f t="shared" ref="D53:N53" si="46">31084000/12</f>
        <v>2590333.3333333335</v>
      </c>
      <c r="E53" s="175">
        <f t="shared" si="46"/>
        <v>2590333.3333333335</v>
      </c>
      <c r="F53" s="175">
        <f t="shared" si="46"/>
        <v>2590333.3333333335</v>
      </c>
      <c r="G53" s="175">
        <f t="shared" si="46"/>
        <v>2590333.3333333335</v>
      </c>
      <c r="H53" s="175">
        <f>31084000/12-30924000+460000</f>
        <v>-27873666.666666668</v>
      </c>
      <c r="I53" s="175">
        <f t="shared" si="46"/>
        <v>2590333.3333333335</v>
      </c>
      <c r="J53" s="175">
        <f t="shared" si="46"/>
        <v>2590333.3333333335</v>
      </c>
      <c r="K53" s="175">
        <f t="shared" si="46"/>
        <v>2590333.3333333335</v>
      </c>
      <c r="L53" s="175">
        <f t="shared" si="46"/>
        <v>2590333.3333333335</v>
      </c>
      <c r="M53" s="175">
        <f t="shared" si="46"/>
        <v>2590333.3333333335</v>
      </c>
      <c r="N53" s="175">
        <f t="shared" si="46"/>
        <v>2590333.3333333335</v>
      </c>
      <c r="O53" s="170">
        <f t="shared" si="45"/>
        <v>620000.00000000279</v>
      </c>
    </row>
    <row r="54" spans="1:15" ht="17.100000000000001" customHeight="1" x14ac:dyDescent="0.3">
      <c r="A54" s="167" t="s">
        <v>258</v>
      </c>
      <c r="B54" s="171" t="s">
        <v>123</v>
      </c>
      <c r="C54" s="175">
        <f>419283000/12</f>
        <v>34940250</v>
      </c>
      <c r="D54" s="175">
        <f t="shared" ref="D54:N54" si="47">419283000/12</f>
        <v>34940250</v>
      </c>
      <c r="E54" s="175">
        <f t="shared" si="47"/>
        <v>34940250</v>
      </c>
      <c r="F54" s="175">
        <f t="shared" si="47"/>
        <v>34940250</v>
      </c>
      <c r="G54" s="175">
        <f t="shared" si="47"/>
        <v>34940250</v>
      </c>
      <c r="H54" s="175">
        <f>419283000/12+8414000-248000</f>
        <v>43106250</v>
      </c>
      <c r="I54" s="175">
        <f t="shared" si="47"/>
        <v>34940250</v>
      </c>
      <c r="J54" s="175">
        <f t="shared" si="47"/>
        <v>34940250</v>
      </c>
      <c r="K54" s="175">
        <f t="shared" si="47"/>
        <v>34940250</v>
      </c>
      <c r="L54" s="175">
        <f t="shared" si="47"/>
        <v>34940250</v>
      </c>
      <c r="M54" s="175">
        <f t="shared" si="47"/>
        <v>34940250</v>
      </c>
      <c r="N54" s="175">
        <f t="shared" si="47"/>
        <v>34940250</v>
      </c>
      <c r="O54" s="170">
        <f t="shared" si="45"/>
        <v>427449000</v>
      </c>
    </row>
    <row r="55" spans="1:15" ht="17.100000000000001" customHeight="1" x14ac:dyDescent="0.3">
      <c r="A55" s="167" t="s">
        <v>261</v>
      </c>
      <c r="B55" s="176" t="s">
        <v>161</v>
      </c>
      <c r="C55" s="175">
        <f>8400000/12</f>
        <v>700000</v>
      </c>
      <c r="D55" s="175">
        <f t="shared" ref="D55:N55" si="48">8400000/12</f>
        <v>700000</v>
      </c>
      <c r="E55" s="175">
        <f t="shared" si="48"/>
        <v>700000</v>
      </c>
      <c r="F55" s="175">
        <f t="shared" si="48"/>
        <v>700000</v>
      </c>
      <c r="G55" s="175">
        <f t="shared" si="48"/>
        <v>700000</v>
      </c>
      <c r="H55" s="175">
        <f t="shared" si="48"/>
        <v>700000</v>
      </c>
      <c r="I55" s="175">
        <f t="shared" si="48"/>
        <v>700000</v>
      </c>
      <c r="J55" s="175">
        <f t="shared" si="48"/>
        <v>700000</v>
      </c>
      <c r="K55" s="175">
        <f t="shared" si="48"/>
        <v>700000</v>
      </c>
      <c r="L55" s="175">
        <f t="shared" si="48"/>
        <v>700000</v>
      </c>
      <c r="M55" s="175">
        <f t="shared" si="48"/>
        <v>700000</v>
      </c>
      <c r="N55" s="175">
        <f t="shared" si="48"/>
        <v>700000</v>
      </c>
      <c r="O55" s="170">
        <f t="shared" si="45"/>
        <v>8400000</v>
      </c>
    </row>
    <row r="56" spans="1:15" ht="17.100000000000001" customHeight="1" x14ac:dyDescent="0.3">
      <c r="A56" s="167" t="s">
        <v>264</v>
      </c>
      <c r="B56" s="176" t="s">
        <v>491</v>
      </c>
      <c r="C56" s="175"/>
      <c r="D56" s="175"/>
      <c r="E56" s="175"/>
      <c r="F56" s="175">
        <v>2500000</v>
      </c>
      <c r="G56" s="175"/>
      <c r="H56" s="175"/>
      <c r="I56" s="175"/>
      <c r="J56" s="175"/>
      <c r="K56" s="175"/>
      <c r="L56" s="175"/>
      <c r="M56" s="175"/>
      <c r="N56" s="175"/>
      <c r="O56" s="170">
        <f t="shared" si="45"/>
        <v>2500000</v>
      </c>
    </row>
    <row r="57" spans="1:15" ht="17.100000000000001" customHeight="1" x14ac:dyDescent="0.3">
      <c r="A57" s="167" t="s">
        <v>267</v>
      </c>
      <c r="B57" s="176" t="s">
        <v>321</v>
      </c>
      <c r="C57" s="175">
        <f>(148588000-2500000)/12</f>
        <v>12174000</v>
      </c>
      <c r="D57" s="175">
        <f t="shared" ref="D57:N57" si="49">(148588000-2500000)/12</f>
        <v>12174000</v>
      </c>
      <c r="E57" s="175">
        <f t="shared" si="49"/>
        <v>12174000</v>
      </c>
      <c r="F57" s="175">
        <f t="shared" si="49"/>
        <v>12174000</v>
      </c>
      <c r="G57" s="175">
        <f t="shared" si="49"/>
        <v>12174000</v>
      </c>
      <c r="H57" s="175">
        <f>(148588000-2500000)/12+36131449+2180000+350000</f>
        <v>50835449</v>
      </c>
      <c r="I57" s="175">
        <f t="shared" si="49"/>
        <v>12174000</v>
      </c>
      <c r="J57" s="175">
        <f t="shared" si="49"/>
        <v>12174000</v>
      </c>
      <c r="K57" s="175">
        <f t="shared" si="49"/>
        <v>12174000</v>
      </c>
      <c r="L57" s="175">
        <f t="shared" si="49"/>
        <v>12174000</v>
      </c>
      <c r="M57" s="175">
        <f t="shared" si="49"/>
        <v>12174000</v>
      </c>
      <c r="N57" s="175">
        <f t="shared" si="49"/>
        <v>12174000</v>
      </c>
      <c r="O57" s="170">
        <f t="shared" si="45"/>
        <v>184749449</v>
      </c>
    </row>
    <row r="58" spans="1:15" ht="17.100000000000001" customHeight="1" x14ac:dyDescent="0.3">
      <c r="A58" s="167" t="s">
        <v>269</v>
      </c>
      <c r="B58" s="171" t="s">
        <v>322</v>
      </c>
      <c r="C58" s="175">
        <f>17014402/12</f>
        <v>1417866.8333333333</v>
      </c>
      <c r="D58" s="175">
        <f t="shared" ref="D58:M58" si="50">17014402/12</f>
        <v>1417866.8333333333</v>
      </c>
      <c r="E58" s="175">
        <f t="shared" si="50"/>
        <v>1417866.8333333333</v>
      </c>
      <c r="F58" s="175">
        <f>17014402/12+12000000</f>
        <v>13417866.833333334</v>
      </c>
      <c r="G58" s="175">
        <f t="shared" si="50"/>
        <v>1417866.8333333333</v>
      </c>
      <c r="H58" s="175">
        <f>17014402/12-14229332-952500-350000</f>
        <v>-14113965.166666666</v>
      </c>
      <c r="I58" s="175">
        <f t="shared" si="50"/>
        <v>1417866.8333333333</v>
      </c>
      <c r="J58" s="175">
        <f t="shared" si="50"/>
        <v>1417866.8333333333</v>
      </c>
      <c r="K58" s="175">
        <f t="shared" si="50"/>
        <v>1417866.8333333333</v>
      </c>
      <c r="L58" s="175">
        <f t="shared" si="50"/>
        <v>1417866.8333333333</v>
      </c>
      <c r="M58" s="175">
        <f t="shared" si="50"/>
        <v>1417866.8333333333</v>
      </c>
      <c r="N58" s="175">
        <f>17014402/12+3610011</f>
        <v>5027877.833333333</v>
      </c>
      <c r="O58" s="170">
        <f>SUM(C58:N58)</f>
        <v>17092581.000000004</v>
      </c>
    </row>
    <row r="59" spans="1:15" ht="17.100000000000001" customHeight="1" x14ac:dyDescent="0.3">
      <c r="A59" s="167" t="s">
        <v>272</v>
      </c>
      <c r="B59" s="171" t="s">
        <v>179</v>
      </c>
      <c r="C59" s="175">
        <f>354841000/12</f>
        <v>29570083.333333332</v>
      </c>
      <c r="D59" s="175">
        <f t="shared" ref="D59:N59" si="51">354841000/12</f>
        <v>29570083.333333332</v>
      </c>
      <c r="E59" s="175">
        <f t="shared" si="51"/>
        <v>29570083.333333332</v>
      </c>
      <c r="F59" s="175">
        <f t="shared" si="51"/>
        <v>29570083.333333332</v>
      </c>
      <c r="G59" s="175">
        <f t="shared" si="51"/>
        <v>29570083.333333332</v>
      </c>
      <c r="H59" s="175">
        <f>354841000/12+58019000+952500-7916809</f>
        <v>80624774.333333328</v>
      </c>
      <c r="I59" s="175">
        <f t="shared" si="51"/>
        <v>29570083.333333332</v>
      </c>
      <c r="J59" s="175">
        <f t="shared" si="51"/>
        <v>29570083.333333332</v>
      </c>
      <c r="K59" s="175">
        <f t="shared" si="51"/>
        <v>29570083.333333332</v>
      </c>
      <c r="L59" s="175">
        <f t="shared" si="51"/>
        <v>29570083.333333332</v>
      </c>
      <c r="M59" s="175">
        <f t="shared" si="51"/>
        <v>29570083.333333332</v>
      </c>
      <c r="N59" s="175">
        <f t="shared" si="51"/>
        <v>29570083.333333332</v>
      </c>
      <c r="O59" s="170">
        <f t="shared" ref="O59:O61" si="52">SUM(C59:N59)</f>
        <v>405895690.99999994</v>
      </c>
    </row>
    <row r="60" spans="1:15" ht="17.100000000000001" customHeight="1" x14ac:dyDescent="0.3">
      <c r="A60" s="167" t="s">
        <v>275</v>
      </c>
      <c r="B60" s="171" t="s">
        <v>187</v>
      </c>
      <c r="C60" s="175">
        <f>66001000/12</f>
        <v>5500083.333333333</v>
      </c>
      <c r="D60" s="175">
        <f t="shared" ref="D60:N60" si="53">66001000/12</f>
        <v>5500083.333333333</v>
      </c>
      <c r="E60" s="175">
        <f t="shared" si="53"/>
        <v>5500083.333333333</v>
      </c>
      <c r="F60" s="175">
        <f t="shared" si="53"/>
        <v>5500083.333333333</v>
      </c>
      <c r="G60" s="175">
        <f t="shared" si="53"/>
        <v>5500083.333333333</v>
      </c>
      <c r="H60" s="175">
        <f>66001000/12+5001000</f>
        <v>10501083.333333332</v>
      </c>
      <c r="I60" s="175">
        <f t="shared" si="53"/>
        <v>5500083.333333333</v>
      </c>
      <c r="J60" s="175">
        <f t="shared" si="53"/>
        <v>5500083.333333333</v>
      </c>
      <c r="K60" s="175">
        <f t="shared" si="53"/>
        <v>5500083.333333333</v>
      </c>
      <c r="L60" s="175">
        <f t="shared" si="53"/>
        <v>5500083.333333333</v>
      </c>
      <c r="M60" s="175">
        <f t="shared" si="53"/>
        <v>5500083.333333333</v>
      </c>
      <c r="N60" s="175">
        <f t="shared" si="53"/>
        <v>5500083.333333333</v>
      </c>
      <c r="O60" s="170">
        <f t="shared" si="52"/>
        <v>71002000.000000015</v>
      </c>
    </row>
    <row r="61" spans="1:15" ht="17.100000000000001" customHeight="1" x14ac:dyDescent="0.3">
      <c r="A61" s="167" t="s">
        <v>278</v>
      </c>
      <c r="B61" s="171" t="s">
        <v>193</v>
      </c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0">
        <f t="shared" si="52"/>
        <v>0</v>
      </c>
    </row>
    <row r="62" spans="1:15" ht="17.100000000000001" customHeight="1" x14ac:dyDescent="0.3">
      <c r="A62" s="167" t="s">
        <v>281</v>
      </c>
      <c r="B62" s="171" t="s">
        <v>280</v>
      </c>
      <c r="C62" s="175">
        <f>9328598</f>
        <v>9328598</v>
      </c>
      <c r="D62" s="175"/>
      <c r="E62" s="175"/>
      <c r="F62" s="175"/>
      <c r="G62" s="175"/>
      <c r="H62" s="175">
        <v>178836</v>
      </c>
      <c r="I62" s="175"/>
      <c r="J62" s="175"/>
      <c r="K62" s="175"/>
      <c r="L62" s="175"/>
      <c r="M62" s="175"/>
      <c r="N62" s="175"/>
      <c r="O62" s="170">
        <f>SUM(C62:N62)</f>
        <v>9507434</v>
      </c>
    </row>
    <row r="63" spans="1:15" s="173" customFormat="1" ht="17.100000000000001" customHeight="1" x14ac:dyDescent="0.3">
      <c r="A63" s="167" t="s">
        <v>492</v>
      </c>
      <c r="B63" s="171" t="s">
        <v>203</v>
      </c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0"/>
    </row>
    <row r="64" spans="1:15" ht="17.100000000000001" customHeight="1" x14ac:dyDescent="0.3">
      <c r="A64" s="349" t="s">
        <v>397</v>
      </c>
      <c r="B64" s="350"/>
      <c r="C64" s="172">
        <f>SUM(C52:C63)</f>
        <v>113605798.16666664</v>
      </c>
      <c r="D64" s="172">
        <f t="shared" ref="D64:N64" si="54">SUM(D52:D62)</f>
        <v>104277200.16666664</v>
      </c>
      <c r="E64" s="172">
        <f t="shared" si="54"/>
        <v>104277200.16666664</v>
      </c>
      <c r="F64" s="172">
        <f t="shared" si="54"/>
        <v>118777200.16666664</v>
      </c>
      <c r="G64" s="172">
        <f t="shared" si="54"/>
        <v>104277200.16666664</v>
      </c>
      <c r="H64" s="172">
        <f t="shared" si="54"/>
        <v>170131344.16666666</v>
      </c>
      <c r="I64" s="172">
        <f t="shared" si="54"/>
        <v>104277200.16666664</v>
      </c>
      <c r="J64" s="172">
        <f t="shared" si="54"/>
        <v>104277200.16666664</v>
      </c>
      <c r="K64" s="172">
        <f t="shared" si="54"/>
        <v>104277200.16666664</v>
      </c>
      <c r="L64" s="172">
        <f t="shared" si="54"/>
        <v>104277200.16666664</v>
      </c>
      <c r="M64" s="172">
        <f t="shared" si="54"/>
        <v>104277200.16666664</v>
      </c>
      <c r="N64" s="172">
        <f t="shared" si="54"/>
        <v>107887211.16666664</v>
      </c>
      <c r="O64" s="172">
        <f>SUM(O52:O63)</f>
        <v>1344619155</v>
      </c>
    </row>
    <row r="65" spans="1:20" ht="14.4" x14ac:dyDescent="0.3">
      <c r="A65" s="347" t="s">
        <v>401</v>
      </c>
      <c r="B65" s="348"/>
      <c r="C65" s="172">
        <f>C40+C50-C64-C47</f>
        <v>566800017.08333337</v>
      </c>
      <c r="D65" s="172">
        <f t="shared" ref="D65:N65" si="55">D40+D50-D64-D47</f>
        <v>512379276.16666669</v>
      </c>
      <c r="E65" s="172">
        <f t="shared" si="55"/>
        <v>499641035.25000006</v>
      </c>
      <c r="F65" s="172">
        <f t="shared" si="55"/>
        <v>442720294.33333343</v>
      </c>
      <c r="G65" s="172">
        <f t="shared" si="55"/>
        <v>388299553.41666681</v>
      </c>
      <c r="H65" s="172">
        <f t="shared" si="55"/>
        <v>327557288.50000018</v>
      </c>
      <c r="I65" s="172">
        <f t="shared" si="55"/>
        <v>273136547.58333355</v>
      </c>
      <c r="J65" s="172">
        <f t="shared" si="55"/>
        <v>218715806.66666695</v>
      </c>
      <c r="K65" s="172">
        <f t="shared" si="55"/>
        <v>164295065.75000033</v>
      </c>
      <c r="L65" s="172">
        <f t="shared" si="55"/>
        <v>109874324.8333337</v>
      </c>
      <c r="M65" s="172">
        <f t="shared" si="55"/>
        <v>55453583.916667052</v>
      </c>
      <c r="N65" s="172">
        <f t="shared" si="55"/>
        <v>-2577167.9999996051</v>
      </c>
      <c r="O65" s="177"/>
    </row>
    <row r="68" spans="1:20" s="160" customFormat="1" ht="18" x14ac:dyDescent="0.35">
      <c r="A68" s="354" t="s">
        <v>363</v>
      </c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159"/>
      <c r="Q68" s="159"/>
      <c r="R68" s="159"/>
      <c r="S68" s="159"/>
      <c r="T68" s="159"/>
    </row>
    <row r="69" spans="1:20" s="160" customFormat="1" ht="18" x14ac:dyDescent="0.35">
      <c r="A69" s="351" t="s">
        <v>535</v>
      </c>
      <c r="B69" s="352"/>
      <c r="C69" s="352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159"/>
      <c r="Q69" s="159"/>
      <c r="R69" s="159"/>
      <c r="S69" s="159"/>
      <c r="T69" s="159"/>
    </row>
    <row r="70" spans="1:20" s="160" customFormat="1" ht="14.4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20" s="160" customFormat="1" ht="14.1" customHeight="1" x14ac:dyDescent="0.3">
      <c r="A71" s="332" t="s">
        <v>516</v>
      </c>
      <c r="B71" s="332"/>
      <c r="C71" s="332"/>
      <c r="D71" s="242"/>
      <c r="E71" s="242"/>
      <c r="F71" s="27"/>
      <c r="G71" s="27"/>
      <c r="H71" s="27"/>
      <c r="I71" s="27"/>
      <c r="J71" s="27"/>
      <c r="K71" s="27"/>
      <c r="L71" s="27"/>
      <c r="M71" s="27"/>
      <c r="N71" s="353" t="s">
        <v>15</v>
      </c>
      <c r="O71" s="353"/>
    </row>
    <row r="72" spans="1:20" ht="28.35" customHeight="1" x14ac:dyDescent="0.25">
      <c r="A72" s="161" t="s">
        <v>362</v>
      </c>
      <c r="B72" s="162" t="s">
        <v>16</v>
      </c>
      <c r="C72" s="162" t="s">
        <v>364</v>
      </c>
      <c r="D72" s="162" t="s">
        <v>365</v>
      </c>
      <c r="E72" s="162" t="s">
        <v>366</v>
      </c>
      <c r="F72" s="162" t="s">
        <v>367</v>
      </c>
      <c r="G72" s="162" t="s">
        <v>368</v>
      </c>
      <c r="H72" s="162" t="s">
        <v>369</v>
      </c>
      <c r="I72" s="162" t="s">
        <v>370</v>
      </c>
      <c r="J72" s="162" t="s">
        <v>371</v>
      </c>
      <c r="K72" s="162" t="s">
        <v>372</v>
      </c>
      <c r="L72" s="162" t="s">
        <v>373</v>
      </c>
      <c r="M72" s="162" t="s">
        <v>374</v>
      </c>
      <c r="N72" s="162" t="s">
        <v>375</v>
      </c>
      <c r="O72" s="162" t="s">
        <v>314</v>
      </c>
    </row>
    <row r="73" spans="1:20" ht="17.100000000000001" customHeight="1" x14ac:dyDescent="0.3">
      <c r="A73" s="164"/>
      <c r="B73" s="165" t="s">
        <v>316</v>
      </c>
      <c r="C73" s="166">
        <f>160660+391488009+57791+925947+3080+12000+91182494+78420000+1091613+402762</f>
        <v>563744356</v>
      </c>
      <c r="D73" s="166">
        <f>C98</f>
        <v>566800017.08333337</v>
      </c>
      <c r="E73" s="166">
        <f t="shared" ref="E73" si="56">D98</f>
        <v>512379276.16666669</v>
      </c>
      <c r="F73" s="166">
        <f t="shared" ref="F73" si="57">E98</f>
        <v>499641035.25000006</v>
      </c>
      <c r="G73" s="166">
        <f t="shared" ref="G73" si="58">F98</f>
        <v>442720294.33333343</v>
      </c>
      <c r="H73" s="166">
        <f t="shared" ref="H73" si="59">G98</f>
        <v>388299553.41666681</v>
      </c>
      <c r="I73" s="166">
        <f t="shared" ref="I73" si="60">H98</f>
        <v>327557288.50000018</v>
      </c>
      <c r="J73" s="166">
        <f t="shared" ref="J73" si="61">I98</f>
        <v>273136547.58333355</v>
      </c>
      <c r="K73" s="166">
        <f t="shared" ref="K73" si="62">J98</f>
        <v>218715806.66666695</v>
      </c>
      <c r="L73" s="166">
        <f t="shared" ref="L73" si="63">K98</f>
        <v>164295065.7500003</v>
      </c>
      <c r="M73" s="166">
        <f t="shared" ref="M73" si="64">L98</f>
        <v>109874324.83333364</v>
      </c>
      <c r="N73" s="166">
        <f t="shared" ref="N73" si="65">M98</f>
        <v>55453583.916666992</v>
      </c>
      <c r="O73" s="164"/>
    </row>
    <row r="74" spans="1:20" ht="17.100000000000001" customHeight="1" x14ac:dyDescent="0.3">
      <c r="A74" s="167" t="s">
        <v>17</v>
      </c>
      <c r="B74" s="168" t="s">
        <v>56</v>
      </c>
      <c r="C74" s="169">
        <f>142728758/12</f>
        <v>11894063.166666666</v>
      </c>
      <c r="D74" s="169">
        <f t="shared" ref="D74:N74" si="66">142728758/12</f>
        <v>11894063.166666666</v>
      </c>
      <c r="E74" s="169">
        <f t="shared" si="66"/>
        <v>11894063.166666666</v>
      </c>
      <c r="F74" s="169">
        <f t="shared" si="66"/>
        <v>11894063.166666666</v>
      </c>
      <c r="G74" s="169">
        <f t="shared" si="66"/>
        <v>11894063.166666666</v>
      </c>
      <c r="H74" s="169">
        <f>142728758/12+7916736-7916809</f>
        <v>11893990.166666664</v>
      </c>
      <c r="I74" s="169">
        <f t="shared" si="66"/>
        <v>11894063.166666666</v>
      </c>
      <c r="J74" s="169">
        <f t="shared" si="66"/>
        <v>11894063.166666666</v>
      </c>
      <c r="K74" s="169">
        <f>142728758/12+57303000+600000+1651000+2500000</f>
        <v>73948063.166666672</v>
      </c>
      <c r="L74" s="169">
        <f t="shared" si="66"/>
        <v>11894063.166666666</v>
      </c>
      <c r="M74" s="169">
        <f t="shared" si="66"/>
        <v>11894063.166666666</v>
      </c>
      <c r="N74" s="169">
        <f t="shared" si="66"/>
        <v>11894063.166666666</v>
      </c>
      <c r="O74" s="170">
        <f t="shared" ref="O74:O82" si="67">SUM(C74:N74)</f>
        <v>204782684.99999997</v>
      </c>
      <c r="P74" s="105"/>
    </row>
    <row r="75" spans="1:20" ht="17.100000000000001" customHeight="1" x14ac:dyDescent="0.3">
      <c r="A75" s="167" t="s">
        <v>18</v>
      </c>
      <c r="B75" s="168" t="s">
        <v>46</v>
      </c>
      <c r="C75" s="169">
        <f>134050000/12</f>
        <v>11170833.333333334</v>
      </c>
      <c r="D75" s="169">
        <f t="shared" ref="D75:N75" si="68">134050000/12</f>
        <v>11170833.333333334</v>
      </c>
      <c r="E75" s="169">
        <f t="shared" si="68"/>
        <v>11170833.333333334</v>
      </c>
      <c r="F75" s="169">
        <f t="shared" si="68"/>
        <v>11170833.333333334</v>
      </c>
      <c r="G75" s="169">
        <f t="shared" si="68"/>
        <v>11170833.333333334</v>
      </c>
      <c r="H75" s="169">
        <f t="shared" si="68"/>
        <v>11170833.333333334</v>
      </c>
      <c r="I75" s="169">
        <f t="shared" si="68"/>
        <v>11170833.333333334</v>
      </c>
      <c r="J75" s="169">
        <f t="shared" si="68"/>
        <v>11170833.333333334</v>
      </c>
      <c r="K75" s="169">
        <f>134050000/12+2000000+12000000</f>
        <v>25170833.333333336</v>
      </c>
      <c r="L75" s="169">
        <f t="shared" si="68"/>
        <v>11170833.333333334</v>
      </c>
      <c r="M75" s="169">
        <f t="shared" si="68"/>
        <v>11170833.333333334</v>
      </c>
      <c r="N75" s="169">
        <f t="shared" si="68"/>
        <v>11170833.333333334</v>
      </c>
      <c r="O75" s="170">
        <f t="shared" si="67"/>
        <v>148050000</v>
      </c>
      <c r="P75" s="105"/>
    </row>
    <row r="76" spans="1:20" ht="17.100000000000001" customHeight="1" x14ac:dyDescent="0.3">
      <c r="A76" s="167" t="s">
        <v>242</v>
      </c>
      <c r="B76" s="168" t="s">
        <v>317</v>
      </c>
      <c r="C76" s="169">
        <f>321498753/12</f>
        <v>26791562.75</v>
      </c>
      <c r="D76" s="169">
        <f t="shared" ref="D76:N76" si="69">321498753/12</f>
        <v>26791562.75</v>
      </c>
      <c r="E76" s="169">
        <f t="shared" si="69"/>
        <v>26791562.75</v>
      </c>
      <c r="F76" s="169">
        <f t="shared" si="69"/>
        <v>26791562.75</v>
      </c>
      <c r="G76" s="169">
        <f t="shared" si="69"/>
        <v>26791562.75</v>
      </c>
      <c r="H76" s="169">
        <f>321498753/12+24185150-14926500+4072000</f>
        <v>40122212.75</v>
      </c>
      <c r="I76" s="169">
        <f t="shared" si="69"/>
        <v>26791562.75</v>
      </c>
      <c r="J76" s="169">
        <f t="shared" si="69"/>
        <v>26791562.75</v>
      </c>
      <c r="K76" s="169">
        <f>321498753/12+11157283+14927300-1566000+800000+400000</f>
        <v>52510145.75</v>
      </c>
      <c r="L76" s="169">
        <f t="shared" si="69"/>
        <v>26791562.75</v>
      </c>
      <c r="M76" s="169">
        <f t="shared" si="69"/>
        <v>26791562.75</v>
      </c>
      <c r="N76" s="169">
        <f t="shared" si="69"/>
        <v>26791562.75</v>
      </c>
      <c r="O76" s="170">
        <f t="shared" si="67"/>
        <v>360547986</v>
      </c>
      <c r="P76" s="105"/>
    </row>
    <row r="77" spans="1:20" ht="17.100000000000001" customHeight="1" x14ac:dyDescent="0.3">
      <c r="A77" s="167" t="s">
        <v>245</v>
      </c>
      <c r="B77" s="168" t="s">
        <v>78</v>
      </c>
      <c r="C77" s="169"/>
      <c r="D77" s="169"/>
      <c r="E77" s="169"/>
      <c r="F77" s="169"/>
      <c r="G77" s="169"/>
      <c r="H77" s="169"/>
      <c r="I77" s="169"/>
      <c r="J77" s="169"/>
      <c r="K77" s="169">
        <f>1023237</f>
        <v>1023237</v>
      </c>
      <c r="L77" s="169"/>
      <c r="M77" s="169"/>
      <c r="N77" s="169"/>
      <c r="O77" s="170">
        <f t="shared" si="67"/>
        <v>1023237</v>
      </c>
    </row>
    <row r="78" spans="1:20" ht="17.100000000000001" customHeight="1" x14ac:dyDescent="0.3">
      <c r="A78" s="167" t="s">
        <v>246</v>
      </c>
      <c r="B78" s="171" t="s">
        <v>74</v>
      </c>
      <c r="C78" s="169"/>
      <c r="D78" s="169"/>
      <c r="E78" s="169"/>
      <c r="F78" s="169">
        <v>12000000</v>
      </c>
      <c r="G78" s="169"/>
      <c r="H78" s="169"/>
      <c r="I78" s="169"/>
      <c r="J78" s="169"/>
      <c r="K78" s="169"/>
      <c r="L78" s="169"/>
      <c r="M78" s="169"/>
      <c r="N78" s="169"/>
      <c r="O78" s="170">
        <f t="shared" si="67"/>
        <v>12000000</v>
      </c>
    </row>
    <row r="79" spans="1:20" ht="17.100000000000001" customHeight="1" x14ac:dyDescent="0.3">
      <c r="A79" s="167" t="s">
        <v>247</v>
      </c>
      <c r="B79" s="171" t="s">
        <v>318</v>
      </c>
      <c r="C79" s="169">
        <v>66805000</v>
      </c>
      <c r="E79" s="169">
        <f>24064100+17618400</f>
        <v>41682500</v>
      </c>
      <c r="F79" s="169"/>
      <c r="G79" s="169"/>
      <c r="H79" s="169">
        <f>2584323+43438884</f>
        <v>46023207</v>
      </c>
      <c r="I79" s="169"/>
      <c r="J79" s="169"/>
      <c r="K79" s="169"/>
      <c r="L79" s="169"/>
      <c r="M79" s="169"/>
      <c r="N79" s="169"/>
      <c r="O79" s="170">
        <f t="shared" si="67"/>
        <v>154510707</v>
      </c>
    </row>
    <row r="80" spans="1:20" ht="17.100000000000001" customHeight="1" x14ac:dyDescent="0.3">
      <c r="A80" s="167" t="s">
        <v>249</v>
      </c>
      <c r="B80" s="171" t="s">
        <v>319</v>
      </c>
      <c r="C80" s="169">
        <f>560000000/12</f>
        <v>46666666.666666664</v>
      </c>
      <c r="D80" s="169">
        <f t="shared" ref="D80:N80" si="70">560000000/12</f>
        <v>46666666.666666664</v>
      </c>
      <c r="E80" s="169">
        <f t="shared" si="70"/>
        <v>46666666.666666664</v>
      </c>
      <c r="F80" s="169">
        <f t="shared" si="70"/>
        <v>46666666.666666664</v>
      </c>
      <c r="G80" s="169">
        <f t="shared" si="70"/>
        <v>46666666.666666664</v>
      </c>
      <c r="H80" s="169">
        <f>560000000/12+2560+1722023+4596941</f>
        <v>52988190.666666664</v>
      </c>
      <c r="I80" s="169">
        <f t="shared" si="70"/>
        <v>46666666.666666664</v>
      </c>
      <c r="J80" s="169">
        <f t="shared" si="70"/>
        <v>46666666.666666664</v>
      </c>
      <c r="K80" s="169">
        <f t="shared" si="70"/>
        <v>46666666.666666664</v>
      </c>
      <c r="L80" s="169">
        <f t="shared" si="70"/>
        <v>46666666.666666664</v>
      </c>
      <c r="M80" s="169">
        <f t="shared" si="70"/>
        <v>46666666.666666664</v>
      </c>
      <c r="N80" s="169">
        <f t="shared" si="70"/>
        <v>46666666.666666664</v>
      </c>
      <c r="O80" s="170">
        <f t="shared" si="67"/>
        <v>566321524.00000012</v>
      </c>
    </row>
    <row r="81" spans="1:15" ht="17.100000000000001" customHeight="1" x14ac:dyDescent="0.3">
      <c r="A81" s="167" t="s">
        <v>251</v>
      </c>
      <c r="B81" s="171" t="s">
        <v>522</v>
      </c>
      <c r="C81" s="169"/>
      <c r="D81" s="169"/>
      <c r="E81" s="169"/>
      <c r="F81" s="169"/>
      <c r="G81" s="169"/>
      <c r="H81" s="169">
        <v>178836</v>
      </c>
      <c r="I81" s="169"/>
      <c r="J81" s="169"/>
      <c r="K81" s="169"/>
      <c r="L81" s="169"/>
      <c r="M81" s="169"/>
      <c r="N81" s="169"/>
      <c r="O81" s="170">
        <f t="shared" si="67"/>
        <v>178836</v>
      </c>
    </row>
    <row r="82" spans="1:15" ht="17.100000000000001" customHeight="1" x14ac:dyDescent="0.3">
      <c r="A82" s="167" t="s">
        <v>252</v>
      </c>
      <c r="B82" s="171" t="s">
        <v>90</v>
      </c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70">
        <f t="shared" si="67"/>
        <v>0</v>
      </c>
    </row>
    <row r="83" spans="1:15" s="173" customFormat="1" ht="17.100000000000001" customHeight="1" x14ac:dyDescent="0.3">
      <c r="A83" s="349" t="s">
        <v>396</v>
      </c>
      <c r="B83" s="350"/>
      <c r="C83" s="172">
        <f>SUM(C74:C82)</f>
        <v>163328125.91666666</v>
      </c>
      <c r="D83" s="172">
        <f t="shared" ref="D83:O83" si="71">SUM(D74:D82)</f>
        <v>96523125.916666657</v>
      </c>
      <c r="E83" s="172">
        <f t="shared" si="71"/>
        <v>138205625.91666666</v>
      </c>
      <c r="F83" s="172">
        <f t="shared" si="71"/>
        <v>108523125.91666666</v>
      </c>
      <c r="G83" s="172">
        <f t="shared" si="71"/>
        <v>96523125.916666657</v>
      </c>
      <c r="H83" s="172">
        <f t="shared" si="71"/>
        <v>162377269.91666666</v>
      </c>
      <c r="I83" s="172">
        <f t="shared" si="71"/>
        <v>96523125.916666657</v>
      </c>
      <c r="J83" s="172">
        <f t="shared" si="71"/>
        <v>96523125.916666657</v>
      </c>
      <c r="K83" s="172">
        <f t="shared" si="71"/>
        <v>199318945.91666666</v>
      </c>
      <c r="L83" s="172">
        <f t="shared" si="71"/>
        <v>96523125.916666657</v>
      </c>
      <c r="M83" s="172">
        <f t="shared" si="71"/>
        <v>96523125.916666657</v>
      </c>
      <c r="N83" s="172">
        <f t="shared" si="71"/>
        <v>96523125.916666657</v>
      </c>
      <c r="O83" s="172">
        <f t="shared" si="71"/>
        <v>1447414975</v>
      </c>
    </row>
    <row r="84" spans="1:15" ht="17.100000000000001" customHeight="1" x14ac:dyDescent="0.3">
      <c r="A84" s="164"/>
      <c r="B84" s="165" t="s">
        <v>238</v>
      </c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4"/>
    </row>
    <row r="85" spans="1:15" ht="17.100000000000001" customHeight="1" x14ac:dyDescent="0.3">
      <c r="A85" s="167" t="s">
        <v>253</v>
      </c>
      <c r="B85" s="174" t="s">
        <v>98</v>
      </c>
      <c r="C85" s="175">
        <f>208615000/12</f>
        <v>17384583.333333332</v>
      </c>
      <c r="D85" s="175">
        <f t="shared" ref="D85:N85" si="72">208615000/12</f>
        <v>17384583.333333332</v>
      </c>
      <c r="E85" s="175">
        <f t="shared" si="72"/>
        <v>17384583.333333332</v>
      </c>
      <c r="F85" s="175">
        <f t="shared" si="72"/>
        <v>17384583.333333332</v>
      </c>
      <c r="G85" s="175">
        <f t="shared" si="72"/>
        <v>17384583.333333332</v>
      </c>
      <c r="H85" s="175">
        <f>208615000/12+4928000+3860000</f>
        <v>26172583.333333332</v>
      </c>
      <c r="I85" s="175">
        <f t="shared" si="72"/>
        <v>17384583.333333332</v>
      </c>
      <c r="J85" s="175">
        <f t="shared" si="72"/>
        <v>17384583.333333332</v>
      </c>
      <c r="K85" s="175">
        <f>208615000/12+6350000+1000000</f>
        <v>24734583.333333332</v>
      </c>
      <c r="L85" s="175">
        <f t="shared" si="72"/>
        <v>17384583.333333332</v>
      </c>
      <c r="M85" s="175">
        <f t="shared" si="72"/>
        <v>17384583.333333332</v>
      </c>
      <c r="N85" s="175">
        <f t="shared" si="72"/>
        <v>17384583.333333332</v>
      </c>
      <c r="O85" s="170">
        <f t="shared" ref="O85:O90" si="73">SUM(C85:N85)</f>
        <v>224753000.00000003</v>
      </c>
    </row>
    <row r="86" spans="1:15" ht="17.100000000000001" customHeight="1" x14ac:dyDescent="0.3">
      <c r="A86" s="167" t="s">
        <v>255</v>
      </c>
      <c r="B86" s="174" t="s">
        <v>320</v>
      </c>
      <c r="C86" s="175">
        <f>31084000/12</f>
        <v>2590333.3333333335</v>
      </c>
      <c r="D86" s="175">
        <f t="shared" ref="D86:N86" si="74">31084000/12</f>
        <v>2590333.3333333335</v>
      </c>
      <c r="E86" s="175">
        <f t="shared" si="74"/>
        <v>2590333.3333333335</v>
      </c>
      <c r="F86" s="175">
        <f t="shared" si="74"/>
        <v>2590333.3333333335</v>
      </c>
      <c r="G86" s="175">
        <f t="shared" si="74"/>
        <v>2590333.3333333335</v>
      </c>
      <c r="H86" s="175">
        <f>31084000/12-30924000+460000</f>
        <v>-27873666.666666668</v>
      </c>
      <c r="I86" s="175">
        <f t="shared" si="74"/>
        <v>2590333.3333333335</v>
      </c>
      <c r="J86" s="175">
        <f t="shared" si="74"/>
        <v>2590333.3333333335</v>
      </c>
      <c r="K86" s="175">
        <f>31084000/12+1666500+130000</f>
        <v>4386833.333333334</v>
      </c>
      <c r="L86" s="175">
        <f t="shared" si="74"/>
        <v>2590333.3333333335</v>
      </c>
      <c r="M86" s="175">
        <f t="shared" si="74"/>
        <v>2590333.3333333335</v>
      </c>
      <c r="N86" s="175">
        <f t="shared" si="74"/>
        <v>2590333.3333333335</v>
      </c>
      <c r="O86" s="170">
        <f t="shared" si="73"/>
        <v>2416500.0000000023</v>
      </c>
    </row>
    <row r="87" spans="1:15" ht="17.100000000000001" customHeight="1" x14ac:dyDescent="0.3">
      <c r="A87" s="167" t="s">
        <v>258</v>
      </c>
      <c r="B87" s="171" t="s">
        <v>123</v>
      </c>
      <c r="C87" s="175">
        <f>419283000/12</f>
        <v>34940250</v>
      </c>
      <c r="D87" s="175">
        <f t="shared" ref="D87:N87" si="75">419283000/12</f>
        <v>34940250</v>
      </c>
      <c r="E87" s="175">
        <f t="shared" si="75"/>
        <v>34940250</v>
      </c>
      <c r="F87" s="175">
        <f t="shared" si="75"/>
        <v>34940250</v>
      </c>
      <c r="G87" s="175">
        <f t="shared" si="75"/>
        <v>34940250</v>
      </c>
      <c r="H87" s="175">
        <f>419283000/12+8414000-248000</f>
        <v>43106250</v>
      </c>
      <c r="I87" s="175">
        <f t="shared" si="75"/>
        <v>34940250</v>
      </c>
      <c r="J87" s="175">
        <f t="shared" si="75"/>
        <v>34940250</v>
      </c>
      <c r="K87" s="175">
        <f>419283000/12+45137680+2000000+4400000+351000+400000+3000000+7810000</f>
        <v>98038930</v>
      </c>
      <c r="L87" s="175">
        <f t="shared" si="75"/>
        <v>34940250</v>
      </c>
      <c r="M87" s="175">
        <f t="shared" si="75"/>
        <v>34940250</v>
      </c>
      <c r="N87" s="175">
        <f t="shared" si="75"/>
        <v>34940250</v>
      </c>
      <c r="O87" s="170">
        <f t="shared" si="73"/>
        <v>490547680</v>
      </c>
    </row>
    <row r="88" spans="1:15" ht="17.100000000000001" customHeight="1" x14ac:dyDescent="0.3">
      <c r="A88" s="167" t="s">
        <v>261</v>
      </c>
      <c r="B88" s="176" t="s">
        <v>161</v>
      </c>
      <c r="C88" s="175">
        <f>8400000/12</f>
        <v>700000</v>
      </c>
      <c r="D88" s="175">
        <f t="shared" ref="D88:N88" si="76">8400000/12</f>
        <v>700000</v>
      </c>
      <c r="E88" s="175">
        <f t="shared" si="76"/>
        <v>700000</v>
      </c>
      <c r="F88" s="175">
        <f t="shared" si="76"/>
        <v>700000</v>
      </c>
      <c r="G88" s="175">
        <f t="shared" si="76"/>
        <v>700000</v>
      </c>
      <c r="H88" s="175">
        <f t="shared" si="76"/>
        <v>700000</v>
      </c>
      <c r="I88" s="175">
        <f t="shared" si="76"/>
        <v>700000</v>
      </c>
      <c r="J88" s="175">
        <f t="shared" si="76"/>
        <v>700000</v>
      </c>
      <c r="K88" s="175">
        <f t="shared" si="76"/>
        <v>700000</v>
      </c>
      <c r="L88" s="175">
        <f t="shared" si="76"/>
        <v>700000</v>
      </c>
      <c r="M88" s="175">
        <f t="shared" si="76"/>
        <v>700000</v>
      </c>
      <c r="N88" s="175">
        <f t="shared" si="76"/>
        <v>700000</v>
      </c>
      <c r="O88" s="170">
        <f t="shared" si="73"/>
        <v>8400000</v>
      </c>
    </row>
    <row r="89" spans="1:15" ht="17.100000000000001" customHeight="1" x14ac:dyDescent="0.3">
      <c r="A89" s="167" t="s">
        <v>264</v>
      </c>
      <c r="B89" s="176" t="s">
        <v>491</v>
      </c>
      <c r="C89" s="175"/>
      <c r="D89" s="175"/>
      <c r="E89" s="175"/>
      <c r="F89" s="175">
        <v>2500000</v>
      </c>
      <c r="G89" s="175"/>
      <c r="H89" s="175"/>
      <c r="I89" s="175"/>
      <c r="J89" s="175"/>
      <c r="K89" s="175">
        <v>-1000000</v>
      </c>
      <c r="L89" s="175"/>
      <c r="M89" s="175"/>
      <c r="N89" s="175"/>
      <c r="O89" s="170">
        <f t="shared" si="73"/>
        <v>1500000</v>
      </c>
    </row>
    <row r="90" spans="1:15" ht="17.100000000000001" customHeight="1" x14ac:dyDescent="0.3">
      <c r="A90" s="167" t="s">
        <v>267</v>
      </c>
      <c r="B90" s="176" t="s">
        <v>321</v>
      </c>
      <c r="C90" s="175">
        <f>(148588000-2500000)/12</f>
        <v>12174000</v>
      </c>
      <c r="D90" s="175">
        <f t="shared" ref="D90:N90" si="77">(148588000-2500000)/12</f>
        <v>12174000</v>
      </c>
      <c r="E90" s="175">
        <f t="shared" si="77"/>
        <v>12174000</v>
      </c>
      <c r="F90" s="175">
        <f t="shared" si="77"/>
        <v>12174000</v>
      </c>
      <c r="G90" s="175">
        <f t="shared" si="77"/>
        <v>12174000</v>
      </c>
      <c r="H90" s="175">
        <f>(148588000-2500000)/12+36131449+2180000+350000</f>
        <v>50835449</v>
      </c>
      <c r="I90" s="175">
        <f t="shared" si="77"/>
        <v>12174000</v>
      </c>
      <c r="J90" s="175">
        <f t="shared" si="77"/>
        <v>12174000</v>
      </c>
      <c r="K90" s="175">
        <f>(148588000-2500000)/12+8032000-1566000</f>
        <v>18640000</v>
      </c>
      <c r="L90" s="175">
        <f t="shared" si="77"/>
        <v>12174000</v>
      </c>
      <c r="M90" s="175">
        <f t="shared" si="77"/>
        <v>12174000</v>
      </c>
      <c r="N90" s="175">
        <f t="shared" si="77"/>
        <v>12174000</v>
      </c>
      <c r="O90" s="170">
        <f t="shared" si="73"/>
        <v>191215449</v>
      </c>
    </row>
    <row r="91" spans="1:15" ht="17.100000000000001" customHeight="1" x14ac:dyDescent="0.3">
      <c r="A91" s="167" t="s">
        <v>269</v>
      </c>
      <c r="B91" s="171" t="s">
        <v>322</v>
      </c>
      <c r="C91" s="175">
        <f>17014402/12</f>
        <v>1417866.8333333333</v>
      </c>
      <c r="D91" s="175">
        <f t="shared" ref="D91:M91" si="78">17014402/12</f>
        <v>1417866.8333333333</v>
      </c>
      <c r="E91" s="175">
        <f t="shared" si="78"/>
        <v>1417866.8333333333</v>
      </c>
      <c r="F91" s="175">
        <f>17014402/12+12000000</f>
        <v>13417866.833333334</v>
      </c>
      <c r="G91" s="175">
        <f t="shared" si="78"/>
        <v>1417866.8333333333</v>
      </c>
      <c r="H91" s="175">
        <f>17014402/12-14229332-952500-350000</f>
        <v>-14113965.166666666</v>
      </c>
      <c r="I91" s="175">
        <f t="shared" si="78"/>
        <v>1417866.8333333333</v>
      </c>
      <c r="J91" s="175">
        <f t="shared" si="78"/>
        <v>1417866.8333333333</v>
      </c>
      <c r="K91" s="175">
        <f>17014402/12-9600360+1300000+2560000</f>
        <v>-4322493.166666667</v>
      </c>
      <c r="L91" s="175">
        <f t="shared" si="78"/>
        <v>1417866.8333333333</v>
      </c>
      <c r="M91" s="175">
        <f t="shared" si="78"/>
        <v>1417866.8333333333</v>
      </c>
      <c r="N91" s="175">
        <f>17014402/12+3610011</f>
        <v>5027877.833333333</v>
      </c>
      <c r="O91" s="170">
        <f>SUM(C91:N91)</f>
        <v>11352221</v>
      </c>
    </row>
    <row r="92" spans="1:15" ht="17.100000000000001" customHeight="1" x14ac:dyDescent="0.3">
      <c r="A92" s="167" t="s">
        <v>272</v>
      </c>
      <c r="B92" s="171" t="s">
        <v>179</v>
      </c>
      <c r="C92" s="175">
        <f>354841000/12</f>
        <v>29570083.333333332</v>
      </c>
      <c r="D92" s="175">
        <f t="shared" ref="D92:N92" si="79">354841000/12</f>
        <v>29570083.333333332</v>
      </c>
      <c r="E92" s="175">
        <f t="shared" si="79"/>
        <v>29570083.333333332</v>
      </c>
      <c r="F92" s="175">
        <f t="shared" si="79"/>
        <v>29570083.333333332</v>
      </c>
      <c r="G92" s="175">
        <f t="shared" si="79"/>
        <v>29570083.333333332</v>
      </c>
      <c r="H92" s="175">
        <f>354841000/12+58019000+952500-7916809</f>
        <v>80624774.333333328</v>
      </c>
      <c r="I92" s="175">
        <f t="shared" si="79"/>
        <v>29570083.333333332</v>
      </c>
      <c r="J92" s="175">
        <f t="shared" si="79"/>
        <v>29570083.333333332</v>
      </c>
      <c r="K92" s="175">
        <f>354841000/12+27680000+1000000+845000</f>
        <v>59095083.333333328</v>
      </c>
      <c r="L92" s="175">
        <f t="shared" si="79"/>
        <v>29570083.333333332</v>
      </c>
      <c r="M92" s="175">
        <f t="shared" si="79"/>
        <v>29570083.333333332</v>
      </c>
      <c r="N92" s="175">
        <f t="shared" si="79"/>
        <v>29570083.333333332</v>
      </c>
      <c r="O92" s="170">
        <f t="shared" ref="O92:O94" si="80">SUM(C92:N92)</f>
        <v>435420690.99999994</v>
      </c>
    </row>
    <row r="93" spans="1:15" ht="17.100000000000001" customHeight="1" x14ac:dyDescent="0.3">
      <c r="A93" s="167" t="s">
        <v>275</v>
      </c>
      <c r="B93" s="171" t="s">
        <v>187</v>
      </c>
      <c r="C93" s="175">
        <f>66001000/12</f>
        <v>5500083.333333333</v>
      </c>
      <c r="D93" s="175">
        <f t="shared" ref="D93:N93" si="81">66001000/12</f>
        <v>5500083.333333333</v>
      </c>
      <c r="E93" s="175">
        <f t="shared" si="81"/>
        <v>5500083.333333333</v>
      </c>
      <c r="F93" s="175">
        <f t="shared" si="81"/>
        <v>5500083.333333333</v>
      </c>
      <c r="G93" s="175">
        <f t="shared" si="81"/>
        <v>5500083.333333333</v>
      </c>
      <c r="H93" s="175">
        <f>66001000/12+5001000</f>
        <v>10501083.333333332</v>
      </c>
      <c r="I93" s="175">
        <f t="shared" si="81"/>
        <v>5500083.333333333</v>
      </c>
      <c r="J93" s="175">
        <f t="shared" si="81"/>
        <v>5500083.333333333</v>
      </c>
      <c r="K93" s="175">
        <f>66001000/12+1300000</f>
        <v>6800083.333333333</v>
      </c>
      <c r="L93" s="175">
        <f t="shared" si="81"/>
        <v>5500083.333333333</v>
      </c>
      <c r="M93" s="175">
        <f t="shared" si="81"/>
        <v>5500083.333333333</v>
      </c>
      <c r="N93" s="175">
        <f t="shared" si="81"/>
        <v>5500083.333333333</v>
      </c>
      <c r="O93" s="170">
        <f t="shared" si="80"/>
        <v>72302000.000000015</v>
      </c>
    </row>
    <row r="94" spans="1:15" ht="17.100000000000001" customHeight="1" x14ac:dyDescent="0.3">
      <c r="A94" s="167" t="s">
        <v>278</v>
      </c>
      <c r="B94" s="171" t="s">
        <v>193</v>
      </c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0">
        <f t="shared" si="80"/>
        <v>0</v>
      </c>
    </row>
    <row r="95" spans="1:15" ht="17.100000000000001" customHeight="1" x14ac:dyDescent="0.3">
      <c r="A95" s="167" t="s">
        <v>281</v>
      </c>
      <c r="B95" s="171" t="s">
        <v>280</v>
      </c>
      <c r="C95" s="175">
        <f>9328598</f>
        <v>9328598</v>
      </c>
      <c r="D95" s="175"/>
      <c r="E95" s="175"/>
      <c r="F95" s="175"/>
      <c r="G95" s="175"/>
      <c r="H95" s="175">
        <v>178836</v>
      </c>
      <c r="I95" s="175"/>
      <c r="J95" s="175"/>
      <c r="K95" s="175"/>
      <c r="L95" s="175"/>
      <c r="M95" s="175"/>
      <c r="N95" s="175"/>
      <c r="O95" s="170">
        <f>SUM(C95:N95)</f>
        <v>9507434</v>
      </c>
    </row>
    <row r="96" spans="1:15" s="173" customFormat="1" ht="17.100000000000001" customHeight="1" x14ac:dyDescent="0.3">
      <c r="A96" s="167" t="s">
        <v>492</v>
      </c>
      <c r="B96" s="171" t="s">
        <v>203</v>
      </c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0">
        <f>SUM(C96:N96)</f>
        <v>0</v>
      </c>
    </row>
    <row r="97" spans="1:15" ht="17.100000000000001" customHeight="1" x14ac:dyDescent="0.3">
      <c r="A97" s="349" t="s">
        <v>397</v>
      </c>
      <c r="B97" s="350"/>
      <c r="C97" s="172">
        <f>SUM(C85:C96)</f>
        <v>113605798.16666664</v>
      </c>
      <c r="D97" s="172">
        <f t="shared" ref="D97:N97" si="82">SUM(D85:D95)</f>
        <v>104277200.16666664</v>
      </c>
      <c r="E97" s="172">
        <f t="shared" si="82"/>
        <v>104277200.16666664</v>
      </c>
      <c r="F97" s="172">
        <f t="shared" si="82"/>
        <v>118777200.16666664</v>
      </c>
      <c r="G97" s="172">
        <f t="shared" si="82"/>
        <v>104277200.16666664</v>
      </c>
      <c r="H97" s="172">
        <f t="shared" si="82"/>
        <v>170131344.16666666</v>
      </c>
      <c r="I97" s="172">
        <f t="shared" si="82"/>
        <v>104277200.16666664</v>
      </c>
      <c r="J97" s="172">
        <f t="shared" si="82"/>
        <v>104277200.16666664</v>
      </c>
      <c r="K97" s="172">
        <f t="shared" si="82"/>
        <v>207073020.16666666</v>
      </c>
      <c r="L97" s="172">
        <f t="shared" si="82"/>
        <v>104277200.16666664</v>
      </c>
      <c r="M97" s="172">
        <f t="shared" si="82"/>
        <v>104277200.16666664</v>
      </c>
      <c r="N97" s="172">
        <f t="shared" si="82"/>
        <v>107887211.16666664</v>
      </c>
      <c r="O97" s="172">
        <f>SUM(O85:O96)</f>
        <v>1447414975</v>
      </c>
    </row>
    <row r="98" spans="1:15" ht="14.4" x14ac:dyDescent="0.3">
      <c r="A98" s="347" t="s">
        <v>401</v>
      </c>
      <c r="B98" s="348"/>
      <c r="C98" s="172">
        <f>C73+C83-C97-C80</f>
        <v>566800017.08333337</v>
      </c>
      <c r="D98" s="172">
        <f t="shared" ref="D98:N98" si="83">D73+D83-D97-D80</f>
        <v>512379276.16666669</v>
      </c>
      <c r="E98" s="172">
        <f t="shared" si="83"/>
        <v>499641035.25000006</v>
      </c>
      <c r="F98" s="172">
        <f t="shared" si="83"/>
        <v>442720294.33333343</v>
      </c>
      <c r="G98" s="172">
        <f t="shared" si="83"/>
        <v>388299553.41666681</v>
      </c>
      <c r="H98" s="172">
        <f t="shared" si="83"/>
        <v>327557288.50000018</v>
      </c>
      <c r="I98" s="172">
        <f t="shared" si="83"/>
        <v>273136547.58333355</v>
      </c>
      <c r="J98" s="172">
        <f t="shared" si="83"/>
        <v>218715806.66666695</v>
      </c>
      <c r="K98" s="172">
        <f t="shared" si="83"/>
        <v>164295065.7500003</v>
      </c>
      <c r="L98" s="172">
        <f t="shared" si="83"/>
        <v>109874324.83333364</v>
      </c>
      <c r="M98" s="172">
        <f t="shared" si="83"/>
        <v>55453583.916666992</v>
      </c>
      <c r="N98" s="172">
        <f t="shared" si="83"/>
        <v>-2577167.9999996647</v>
      </c>
      <c r="O98" s="177"/>
    </row>
  </sheetData>
  <mergeCells count="22">
    <mergeCell ref="A97:B97"/>
    <mergeCell ref="A98:B98"/>
    <mergeCell ref="A68:O68"/>
    <mergeCell ref="A69:O69"/>
    <mergeCell ref="A71:C71"/>
    <mergeCell ref="N71:O71"/>
    <mergeCell ref="A83:B83"/>
    <mergeCell ref="A35:O35"/>
    <mergeCell ref="A30:B30"/>
    <mergeCell ref="A31:B31"/>
    <mergeCell ref="A1:O1"/>
    <mergeCell ref="A2:O2"/>
    <mergeCell ref="A4:C4"/>
    <mergeCell ref="N4:O4"/>
    <mergeCell ref="A16:B16"/>
    <mergeCell ref="A3:B3"/>
    <mergeCell ref="A65:B65"/>
    <mergeCell ref="A64:B64"/>
    <mergeCell ref="A36:O36"/>
    <mergeCell ref="A38:C38"/>
    <mergeCell ref="N38:O38"/>
    <mergeCell ref="A50:B50"/>
  </mergeCells>
  <printOptions horizontalCentered="1"/>
  <pageMargins left="0.15748031496062992" right="0.15748031496062992" top="0.86614173228346458" bottom="0.19685039370078741" header="0.35433070866141736" footer="0.19685039370078741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K37"/>
  <sheetViews>
    <sheetView zoomScaleNormal="100" workbookViewId="0">
      <selection activeCell="H8" sqref="H8"/>
    </sheetView>
  </sheetViews>
  <sheetFormatPr defaultColWidth="8" defaultRowHeight="13.8" x14ac:dyDescent="0.25"/>
  <cols>
    <col min="1" max="1" width="4.21875" style="15" bestFit="1" customWidth="1"/>
    <col min="2" max="2" width="30" style="15" bestFit="1" customWidth="1"/>
    <col min="3" max="3" width="11.21875" style="15" customWidth="1"/>
    <col min="4" max="6" width="5.5546875" style="15" bestFit="1" customWidth="1"/>
    <col min="7" max="7" width="15.77734375" style="15" bestFit="1" customWidth="1"/>
    <col min="8" max="11" width="18.21875" style="15" bestFit="1" customWidth="1"/>
    <col min="12" max="16384" width="8" style="15"/>
  </cols>
  <sheetData>
    <row r="2" spans="1:10" s="11" customFormat="1" ht="82.05" customHeight="1" x14ac:dyDescent="0.3">
      <c r="A2" s="360" t="s">
        <v>376</v>
      </c>
      <c r="B2" s="360"/>
      <c r="C2" s="360"/>
      <c r="D2" s="360"/>
      <c r="E2" s="360"/>
      <c r="F2" s="360"/>
      <c r="G2" s="360"/>
    </row>
    <row r="3" spans="1:10" s="11" customFormat="1" ht="17.100000000000001" customHeight="1" x14ac:dyDescent="0.3">
      <c r="A3" s="360" t="s">
        <v>327</v>
      </c>
      <c r="B3" s="327"/>
      <c r="C3" s="327"/>
      <c r="D3" s="327"/>
      <c r="E3" s="327"/>
      <c r="F3" s="327"/>
      <c r="G3" s="327"/>
    </row>
    <row r="4" spans="1:10" s="155" customFormat="1" ht="17.100000000000001" customHeight="1" x14ac:dyDescent="0.3">
      <c r="A4" s="237"/>
      <c r="B4" s="237"/>
      <c r="C4" s="237"/>
      <c r="D4" s="361"/>
      <c r="E4" s="361"/>
      <c r="F4" s="361"/>
      <c r="G4" s="361"/>
      <c r="H4" s="12"/>
      <c r="J4" s="12"/>
    </row>
    <row r="5" spans="1:10" s="10" customFormat="1" ht="15" customHeight="1" x14ac:dyDescent="0.3">
      <c r="A5" s="303" t="s">
        <v>577</v>
      </c>
      <c r="B5" s="303"/>
      <c r="C5" s="381"/>
      <c r="D5" s="35"/>
      <c r="E5" s="46"/>
      <c r="F5" s="362" t="s">
        <v>323</v>
      </c>
      <c r="G5" s="362"/>
      <c r="H5" s="13"/>
      <c r="J5" s="13"/>
    </row>
    <row r="6" spans="1:10" s="10" customFormat="1" ht="17.100000000000001" customHeight="1" x14ac:dyDescent="0.3">
      <c r="A6" s="332" t="s">
        <v>564</v>
      </c>
      <c r="B6" s="332"/>
      <c r="C6" s="332"/>
      <c r="D6" s="35"/>
      <c r="E6" s="46"/>
      <c r="F6" s="244"/>
      <c r="G6" s="244"/>
      <c r="H6" s="13"/>
      <c r="J6" s="13"/>
    </row>
    <row r="7" spans="1:10" ht="17.100000000000001" customHeight="1" x14ac:dyDescent="0.3">
      <c r="A7" s="364" t="s">
        <v>509</v>
      </c>
      <c r="B7" s="364"/>
      <c r="C7" s="364"/>
      <c r="D7" s="364"/>
      <c r="E7" s="364"/>
      <c r="F7" s="364"/>
      <c r="G7" s="243"/>
      <c r="H7" s="14"/>
      <c r="J7" s="14"/>
    </row>
    <row r="8" spans="1:10" ht="17.100000000000001" customHeight="1" x14ac:dyDescent="0.3">
      <c r="A8" s="50"/>
      <c r="B8" s="50"/>
      <c r="C8" s="50"/>
      <c r="D8" s="243"/>
      <c r="E8" s="243"/>
      <c r="F8" s="243"/>
      <c r="G8" s="243"/>
      <c r="H8" s="14"/>
      <c r="J8" s="14"/>
    </row>
    <row r="9" spans="1:10" s="17" customFormat="1" ht="17.100000000000001" customHeight="1" x14ac:dyDescent="0.3">
      <c r="A9" s="245" t="s">
        <v>362</v>
      </c>
      <c r="B9" s="363" t="s">
        <v>324</v>
      </c>
      <c r="C9" s="363"/>
      <c r="D9" s="363"/>
      <c r="E9" s="363"/>
      <c r="F9" s="363" t="s">
        <v>325</v>
      </c>
      <c r="G9" s="363"/>
      <c r="H9" s="16"/>
      <c r="J9" s="16"/>
    </row>
    <row r="10" spans="1:10" s="17" customFormat="1" ht="17.100000000000001" customHeight="1" x14ac:dyDescent="0.3">
      <c r="A10" s="57" t="s">
        <v>17</v>
      </c>
      <c r="B10" s="365"/>
      <c r="C10" s="365"/>
      <c r="D10" s="365"/>
      <c r="E10" s="365"/>
      <c r="F10" s="359">
        <v>0</v>
      </c>
      <c r="G10" s="359"/>
      <c r="H10" s="16"/>
      <c r="J10" s="16"/>
    </row>
    <row r="11" spans="1:10" s="17" customFormat="1" ht="17.100000000000001" customHeight="1" x14ac:dyDescent="0.3">
      <c r="A11" s="57" t="s">
        <v>18</v>
      </c>
      <c r="B11" s="358"/>
      <c r="C11" s="358"/>
      <c r="D11" s="358"/>
      <c r="E11" s="358"/>
      <c r="F11" s="359">
        <v>0</v>
      </c>
      <c r="G11" s="359"/>
      <c r="H11" s="16"/>
      <c r="J11" s="16"/>
    </row>
    <row r="12" spans="1:10" s="17" customFormat="1" ht="17.100000000000001" customHeight="1" x14ac:dyDescent="0.3">
      <c r="A12" s="57" t="s">
        <v>242</v>
      </c>
      <c r="B12" s="358"/>
      <c r="C12" s="358"/>
      <c r="D12" s="358"/>
      <c r="E12" s="358"/>
      <c r="F12" s="359">
        <v>0</v>
      </c>
      <c r="G12" s="359"/>
      <c r="H12" s="16"/>
      <c r="J12" s="16"/>
    </row>
    <row r="13" spans="1:10" s="17" customFormat="1" ht="17.100000000000001" customHeight="1" x14ac:dyDescent="0.3">
      <c r="A13" s="58" t="s">
        <v>245</v>
      </c>
      <c r="B13" s="367" t="s">
        <v>377</v>
      </c>
      <c r="C13" s="367"/>
      <c r="D13" s="367"/>
      <c r="E13" s="367"/>
      <c r="F13" s="368">
        <f>SUM(F10:F12)</f>
        <v>0</v>
      </c>
      <c r="G13" s="368"/>
      <c r="H13" s="16"/>
      <c r="J13" s="16"/>
    </row>
    <row r="14" spans="1:10" ht="17.100000000000001" customHeight="1" x14ac:dyDescent="0.3">
      <c r="A14" s="49"/>
      <c r="B14" s="49"/>
      <c r="C14" s="49"/>
      <c r="D14" s="49"/>
      <c r="E14" s="49"/>
      <c r="F14" s="51"/>
      <c r="G14" s="51"/>
      <c r="H14" s="14"/>
      <c r="J14" s="14"/>
    </row>
    <row r="15" spans="1:10" ht="27" customHeight="1" x14ac:dyDescent="0.3">
      <c r="A15" s="364" t="s">
        <v>378</v>
      </c>
      <c r="B15" s="364"/>
      <c r="C15" s="364"/>
      <c r="D15" s="364"/>
      <c r="E15" s="364"/>
      <c r="F15" s="364"/>
      <c r="G15" s="364"/>
      <c r="H15" s="14"/>
      <c r="J15" s="14"/>
    </row>
    <row r="16" spans="1:10" ht="17.100000000000001" customHeight="1" x14ac:dyDescent="0.3">
      <c r="A16" s="50"/>
      <c r="B16" s="50"/>
      <c r="C16" s="50"/>
      <c r="D16" s="243"/>
      <c r="E16" s="243"/>
      <c r="F16" s="243"/>
      <c r="G16" s="243"/>
      <c r="H16" s="14"/>
      <c r="J16" s="14"/>
    </row>
    <row r="17" spans="1:11" ht="17.100000000000001" customHeight="1" x14ac:dyDescent="0.25">
      <c r="A17" s="363" t="s">
        <v>362</v>
      </c>
      <c r="B17" s="363" t="s">
        <v>16</v>
      </c>
      <c r="C17" s="363" t="s">
        <v>326</v>
      </c>
      <c r="D17" s="363"/>
      <c r="E17" s="363"/>
      <c r="F17" s="363"/>
      <c r="G17" s="363" t="s">
        <v>315</v>
      </c>
    </row>
    <row r="18" spans="1:11" ht="17.100000000000001" customHeight="1" x14ac:dyDescent="0.25">
      <c r="A18" s="363"/>
      <c r="B18" s="363"/>
      <c r="C18" s="245" t="s">
        <v>327</v>
      </c>
      <c r="D18" s="61" t="s">
        <v>355</v>
      </c>
      <c r="E18" s="61" t="s">
        <v>356</v>
      </c>
      <c r="F18" s="61" t="s">
        <v>493</v>
      </c>
      <c r="G18" s="363"/>
    </row>
    <row r="19" spans="1:11" ht="17.100000000000001" customHeight="1" x14ac:dyDescent="0.3">
      <c r="A19" s="57" t="s">
        <v>17</v>
      </c>
      <c r="B19" s="52" t="s">
        <v>328</v>
      </c>
      <c r="C19" s="53">
        <v>0</v>
      </c>
      <c r="D19" s="53">
        <v>0</v>
      </c>
      <c r="E19" s="53">
        <v>0</v>
      </c>
      <c r="F19" s="53">
        <v>0</v>
      </c>
      <c r="G19" s="53">
        <f>SUM(D19:F19)</f>
        <v>0</v>
      </c>
    </row>
    <row r="20" spans="1:11" ht="17.100000000000001" customHeight="1" x14ac:dyDescent="0.3">
      <c r="A20" s="57" t="s">
        <v>18</v>
      </c>
      <c r="B20" s="52"/>
      <c r="C20" s="52"/>
      <c r="D20" s="53"/>
      <c r="E20" s="53"/>
      <c r="F20" s="53"/>
      <c r="G20" s="53">
        <f>SUM(D20:F20)</f>
        <v>0</v>
      </c>
    </row>
    <row r="21" spans="1:11" ht="17.100000000000001" customHeight="1" x14ac:dyDescent="0.3">
      <c r="A21" s="57" t="s">
        <v>242</v>
      </c>
      <c r="B21" s="52"/>
      <c r="C21" s="52"/>
      <c r="D21" s="53"/>
      <c r="E21" s="53"/>
      <c r="F21" s="53"/>
      <c r="G21" s="53">
        <f>SUM(D21:F21)</f>
        <v>0</v>
      </c>
    </row>
    <row r="22" spans="1:11" s="18" customFormat="1" ht="17.100000000000001" customHeight="1" x14ac:dyDescent="0.3">
      <c r="A22" s="58" t="s">
        <v>245</v>
      </c>
      <c r="B22" s="246" t="s">
        <v>379</v>
      </c>
      <c r="C22" s="62">
        <f>C19</f>
        <v>0</v>
      </c>
      <c r="D22" s="62">
        <f>SUM(D19:D21)</f>
        <v>0</v>
      </c>
      <c r="E22" s="62">
        <f>SUM(E19:E21)</f>
        <v>0</v>
      </c>
      <c r="F22" s="62">
        <f>SUM(F19:F21)</f>
        <v>0</v>
      </c>
      <c r="G22" s="62">
        <f>SUM(G19:G21)</f>
        <v>0</v>
      </c>
    </row>
    <row r="23" spans="1:11" s="18" customFormat="1" ht="17.100000000000001" customHeight="1" x14ac:dyDescent="0.3">
      <c r="A23" s="49"/>
      <c r="B23" s="54"/>
      <c r="C23" s="54"/>
      <c r="D23" s="55"/>
      <c r="E23" s="55"/>
      <c r="F23" s="55"/>
      <c r="G23" s="55"/>
    </row>
    <row r="24" spans="1:11" s="19" customFormat="1" ht="31.05" customHeight="1" x14ac:dyDescent="0.3">
      <c r="A24" s="369" t="s">
        <v>380</v>
      </c>
      <c r="B24" s="369"/>
      <c r="C24" s="369"/>
      <c r="D24" s="369"/>
      <c r="E24" s="369"/>
      <c r="F24" s="369"/>
      <c r="G24" s="369"/>
    </row>
    <row r="25" spans="1:11" ht="17.100000000000001" customHeight="1" x14ac:dyDescent="0.3">
      <c r="A25" s="56"/>
      <c r="B25" s="56"/>
      <c r="C25" s="56"/>
      <c r="D25" s="56"/>
      <c r="E25" s="56"/>
      <c r="F25" s="56"/>
      <c r="G25" s="56"/>
    </row>
    <row r="26" spans="1:11" ht="30.6" customHeight="1" x14ac:dyDescent="0.25">
      <c r="A26" s="245" t="s">
        <v>362</v>
      </c>
      <c r="B26" s="363" t="s">
        <v>329</v>
      </c>
      <c r="C26" s="363"/>
      <c r="D26" s="363"/>
      <c r="E26" s="363"/>
      <c r="F26" s="363"/>
      <c r="G26" s="245" t="s">
        <v>494</v>
      </c>
      <c r="H26" s="245" t="s">
        <v>514</v>
      </c>
      <c r="I26" s="245" t="s">
        <v>515</v>
      </c>
      <c r="J26" s="245" t="s">
        <v>533</v>
      </c>
      <c r="K26" s="245" t="s">
        <v>534</v>
      </c>
    </row>
    <row r="27" spans="1:11" ht="17.100000000000001" customHeight="1" x14ac:dyDescent="0.3">
      <c r="A27" s="57" t="s">
        <v>330</v>
      </c>
      <c r="B27" s="365" t="s">
        <v>331</v>
      </c>
      <c r="C27" s="365"/>
      <c r="D27" s="365"/>
      <c r="E27" s="365"/>
      <c r="F27" s="365"/>
      <c r="G27" s="53">
        <v>110000000</v>
      </c>
      <c r="H27" s="53"/>
      <c r="I27" s="53">
        <f>G27+H27</f>
        <v>110000000</v>
      </c>
      <c r="J27" s="53"/>
      <c r="K27" s="53">
        <f>I27+J27</f>
        <v>110000000</v>
      </c>
    </row>
    <row r="28" spans="1:11" ht="17.100000000000001" customHeight="1" x14ac:dyDescent="0.3">
      <c r="A28" s="57" t="s">
        <v>332</v>
      </c>
      <c r="B28" s="355" t="s">
        <v>333</v>
      </c>
      <c r="C28" s="356"/>
      <c r="D28" s="356"/>
      <c r="E28" s="356"/>
      <c r="F28" s="357"/>
      <c r="G28" s="53">
        <v>0</v>
      </c>
      <c r="H28" s="53">
        <v>0</v>
      </c>
      <c r="I28" s="53">
        <f t="shared" ref="I28:I35" si="0">G28+H28</f>
        <v>0</v>
      </c>
      <c r="J28" s="53">
        <v>0</v>
      </c>
      <c r="K28" s="53">
        <f t="shared" ref="K28:K35" si="1">I28+J28</f>
        <v>0</v>
      </c>
    </row>
    <row r="29" spans="1:11" ht="17.100000000000001" customHeight="1" x14ac:dyDescent="0.3">
      <c r="A29" s="57" t="s">
        <v>334</v>
      </c>
      <c r="B29" s="355" t="s">
        <v>335</v>
      </c>
      <c r="C29" s="356"/>
      <c r="D29" s="356"/>
      <c r="E29" s="356"/>
      <c r="F29" s="357"/>
      <c r="G29" s="53">
        <v>20100000</v>
      </c>
      <c r="H29" s="53"/>
      <c r="I29" s="53">
        <f t="shared" si="0"/>
        <v>20100000</v>
      </c>
      <c r="J29" s="53">
        <v>600000</v>
      </c>
      <c r="K29" s="53">
        <f t="shared" si="1"/>
        <v>20700000</v>
      </c>
    </row>
    <row r="30" spans="1:11" ht="17.100000000000001" customHeight="1" x14ac:dyDescent="0.3">
      <c r="A30" s="57" t="s">
        <v>336</v>
      </c>
      <c r="B30" s="355" t="s">
        <v>337</v>
      </c>
      <c r="C30" s="356"/>
      <c r="D30" s="356"/>
      <c r="E30" s="356"/>
      <c r="F30" s="357"/>
      <c r="G30" s="53"/>
      <c r="H30" s="53"/>
      <c r="I30" s="53">
        <f t="shared" si="0"/>
        <v>0</v>
      </c>
      <c r="J30" s="53"/>
      <c r="K30" s="53">
        <f t="shared" si="1"/>
        <v>0</v>
      </c>
    </row>
    <row r="31" spans="1:11" ht="17.100000000000001" customHeight="1" x14ac:dyDescent="0.3">
      <c r="A31" s="57" t="s">
        <v>338</v>
      </c>
      <c r="B31" s="355" t="s">
        <v>339</v>
      </c>
      <c r="C31" s="356"/>
      <c r="D31" s="356"/>
      <c r="E31" s="356"/>
      <c r="F31" s="357"/>
      <c r="G31" s="53">
        <v>0</v>
      </c>
      <c r="H31" s="53">
        <v>0</v>
      </c>
      <c r="I31" s="53">
        <f t="shared" si="0"/>
        <v>0</v>
      </c>
      <c r="J31" s="53">
        <v>0</v>
      </c>
      <c r="K31" s="53">
        <f t="shared" si="1"/>
        <v>0</v>
      </c>
    </row>
    <row r="32" spans="1:11" ht="17.100000000000001" customHeight="1" x14ac:dyDescent="0.3">
      <c r="A32" s="57" t="s">
        <v>340</v>
      </c>
      <c r="B32" s="355" t="s">
        <v>341</v>
      </c>
      <c r="C32" s="356"/>
      <c r="D32" s="356"/>
      <c r="E32" s="356"/>
      <c r="F32" s="357"/>
      <c r="G32" s="53">
        <v>0</v>
      </c>
      <c r="H32" s="53">
        <v>0</v>
      </c>
      <c r="I32" s="53">
        <f t="shared" si="0"/>
        <v>0</v>
      </c>
      <c r="J32" s="53">
        <v>0</v>
      </c>
      <c r="K32" s="53">
        <f t="shared" si="1"/>
        <v>0</v>
      </c>
    </row>
    <row r="33" spans="1:11" ht="17.100000000000001" customHeight="1" x14ac:dyDescent="0.3">
      <c r="A33" s="57" t="s">
        <v>342</v>
      </c>
      <c r="B33" s="355" t="s">
        <v>343</v>
      </c>
      <c r="C33" s="356"/>
      <c r="D33" s="356"/>
      <c r="E33" s="356"/>
      <c r="F33" s="357"/>
      <c r="G33" s="53">
        <v>0</v>
      </c>
      <c r="H33" s="53">
        <v>0</v>
      </c>
      <c r="I33" s="53">
        <f t="shared" si="0"/>
        <v>0</v>
      </c>
      <c r="J33" s="53">
        <v>0</v>
      </c>
      <c r="K33" s="53">
        <f t="shared" si="1"/>
        <v>0</v>
      </c>
    </row>
    <row r="34" spans="1:11" ht="17.100000000000001" customHeight="1" x14ac:dyDescent="0.3">
      <c r="A34" s="370" t="s">
        <v>402</v>
      </c>
      <c r="B34" s="371"/>
      <c r="C34" s="371"/>
      <c r="D34" s="371"/>
      <c r="E34" s="371"/>
      <c r="F34" s="371"/>
      <c r="G34" s="63">
        <f>SUM(G27:G33)</f>
        <v>130100000</v>
      </c>
      <c r="H34" s="63">
        <f t="shared" ref="H34:J34" si="2">SUM(H27:H33)</f>
        <v>0</v>
      </c>
      <c r="I34" s="63">
        <f t="shared" si="0"/>
        <v>130100000</v>
      </c>
      <c r="J34" s="63">
        <f t="shared" si="2"/>
        <v>600000</v>
      </c>
      <c r="K34" s="63">
        <f t="shared" si="1"/>
        <v>130700000</v>
      </c>
    </row>
    <row r="35" spans="1:11" ht="17.100000000000001" customHeight="1" x14ac:dyDescent="0.3">
      <c r="A35" s="370" t="s">
        <v>344</v>
      </c>
      <c r="B35" s="371"/>
      <c r="C35" s="371"/>
      <c r="D35" s="371"/>
      <c r="E35" s="371"/>
      <c r="F35" s="371"/>
      <c r="G35" s="63">
        <f>G34/2</f>
        <v>65050000</v>
      </c>
      <c r="H35" s="63">
        <f t="shared" ref="H35:J35" si="3">H34/2</f>
        <v>0</v>
      </c>
      <c r="I35" s="63">
        <f t="shared" si="0"/>
        <v>65050000</v>
      </c>
      <c r="J35" s="63">
        <f t="shared" si="3"/>
        <v>300000</v>
      </c>
      <c r="K35" s="63">
        <f t="shared" si="1"/>
        <v>65350000</v>
      </c>
    </row>
    <row r="36" spans="1:11" ht="17.100000000000001" customHeight="1" x14ac:dyDescent="0.3">
      <c r="A36" s="60"/>
      <c r="B36" s="156"/>
      <c r="C36" s="156"/>
      <c r="D36" s="156"/>
      <c r="E36" s="156"/>
      <c r="F36" s="156"/>
      <c r="G36" s="59"/>
    </row>
    <row r="37" spans="1:11" ht="23.25" customHeight="1" x14ac:dyDescent="0.25">
      <c r="A37" s="366" t="s">
        <v>381</v>
      </c>
      <c r="B37" s="366"/>
      <c r="C37" s="366"/>
      <c r="D37" s="366"/>
      <c r="E37" s="366"/>
      <c r="F37" s="366"/>
      <c r="G37" s="366"/>
    </row>
  </sheetData>
  <mergeCells count="35">
    <mergeCell ref="B12:E12"/>
    <mergeCell ref="F12:G12"/>
    <mergeCell ref="B27:F27"/>
    <mergeCell ref="A37:G37"/>
    <mergeCell ref="B13:E13"/>
    <mergeCell ref="F13:G13"/>
    <mergeCell ref="A15:G15"/>
    <mergeCell ref="A24:G24"/>
    <mergeCell ref="B26:F26"/>
    <mergeCell ref="A35:F35"/>
    <mergeCell ref="A34:F34"/>
    <mergeCell ref="A17:A18"/>
    <mergeCell ref="B17:B18"/>
    <mergeCell ref="C17:F17"/>
    <mergeCell ref="G17:G18"/>
    <mergeCell ref="B28:F28"/>
    <mergeCell ref="B11:E11"/>
    <mergeCell ref="F11:G11"/>
    <mergeCell ref="A2:G2"/>
    <mergeCell ref="D4:E4"/>
    <mergeCell ref="F4:G4"/>
    <mergeCell ref="F5:G5"/>
    <mergeCell ref="B9:E9"/>
    <mergeCell ref="F9:G9"/>
    <mergeCell ref="A3:G3"/>
    <mergeCell ref="A5:C5"/>
    <mergeCell ref="A7:F7"/>
    <mergeCell ref="B10:E10"/>
    <mergeCell ref="F10:G10"/>
    <mergeCell ref="A6:C6"/>
    <mergeCell ref="B29:F29"/>
    <mergeCell ref="B30:F30"/>
    <mergeCell ref="B31:F31"/>
    <mergeCell ref="B32:F32"/>
    <mergeCell ref="B33:F33"/>
  </mergeCells>
  <phoneticPr fontId="49" type="noConversion"/>
  <pageMargins left="0.78740157480314965" right="0.78740157480314965" top="0.98425196850393704" bottom="0.98425196850393704" header="0.78740157480314965" footer="0.7874015748031496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25"/>
  <sheetViews>
    <sheetView zoomScaleNormal="100" workbookViewId="0">
      <selection activeCell="B19" sqref="B19"/>
    </sheetView>
  </sheetViews>
  <sheetFormatPr defaultColWidth="8.77734375" defaultRowHeight="14.4" x14ac:dyDescent="0.3"/>
  <cols>
    <col min="1" max="1" width="8.77734375" style="150"/>
    <col min="2" max="2" width="48.21875" style="150" customWidth="1"/>
    <col min="3" max="3" width="19.5546875" style="150" hidden="1" customWidth="1"/>
    <col min="4" max="4" width="19.44140625" style="150" hidden="1" customWidth="1"/>
    <col min="5" max="9" width="15.77734375" style="150" customWidth="1"/>
    <col min="10" max="16384" width="8.77734375" style="150"/>
  </cols>
  <sheetData>
    <row r="1" spans="1:9" x14ac:dyDescent="0.3">
      <c r="A1" s="64"/>
      <c r="B1" s="64"/>
      <c r="C1" s="64"/>
      <c r="D1" s="64"/>
      <c r="E1" s="64"/>
      <c r="F1" s="64"/>
      <c r="G1" s="64"/>
      <c r="H1" s="64"/>
      <c r="I1" s="64"/>
    </row>
    <row r="2" spans="1:9" ht="33" customHeight="1" x14ac:dyDescent="0.35">
      <c r="A2" s="373" t="s">
        <v>470</v>
      </c>
      <c r="B2" s="373"/>
      <c r="C2" s="373"/>
      <c r="D2" s="373"/>
      <c r="E2" s="373"/>
    </row>
    <row r="3" spans="1:9" ht="15" x14ac:dyDescent="0.35">
      <c r="A3" s="373" t="s">
        <v>327</v>
      </c>
      <c r="B3" s="374"/>
      <c r="C3" s="374"/>
      <c r="D3" s="374"/>
      <c r="E3" s="374"/>
    </row>
    <row r="4" spans="1:9" x14ac:dyDescent="0.3">
      <c r="A4" s="303" t="s">
        <v>578</v>
      </c>
      <c r="B4" s="303"/>
      <c r="C4" s="27"/>
      <c r="D4" s="375"/>
      <c r="E4" s="375"/>
    </row>
    <row r="5" spans="1:9" ht="14.4" customHeight="1" x14ac:dyDescent="0.3">
      <c r="A5" s="332" t="s">
        <v>565</v>
      </c>
      <c r="B5" s="332"/>
      <c r="C5" s="332"/>
      <c r="D5" s="376" t="s">
        <v>15</v>
      </c>
      <c r="E5" s="376"/>
    </row>
    <row r="6" spans="1:9" x14ac:dyDescent="0.3">
      <c r="A6" s="379" t="s">
        <v>362</v>
      </c>
      <c r="B6" s="380" t="s">
        <v>16</v>
      </c>
      <c r="C6" s="372" t="s">
        <v>510</v>
      </c>
      <c r="D6" s="372" t="s">
        <v>508</v>
      </c>
      <c r="E6" s="372" t="s">
        <v>480</v>
      </c>
      <c r="F6" s="372" t="s">
        <v>511</v>
      </c>
      <c r="G6" s="372" t="s">
        <v>512</v>
      </c>
      <c r="H6" s="372" t="s">
        <v>531</v>
      </c>
      <c r="I6" s="372" t="s">
        <v>532</v>
      </c>
    </row>
    <row r="7" spans="1:9" x14ac:dyDescent="0.3">
      <c r="A7" s="379"/>
      <c r="B7" s="380"/>
      <c r="C7" s="372"/>
      <c r="D7" s="372"/>
      <c r="E7" s="372"/>
      <c r="F7" s="372"/>
      <c r="G7" s="372"/>
      <c r="H7" s="372"/>
      <c r="I7" s="372"/>
    </row>
    <row r="8" spans="1:9" x14ac:dyDescent="0.3">
      <c r="A8" s="379"/>
      <c r="B8" s="380"/>
      <c r="C8" s="372"/>
      <c r="D8" s="372"/>
      <c r="E8" s="372"/>
      <c r="F8" s="372"/>
      <c r="G8" s="372"/>
      <c r="H8" s="372"/>
      <c r="I8" s="372"/>
    </row>
    <row r="9" spans="1:9" x14ac:dyDescent="0.3">
      <c r="A9" s="379"/>
      <c r="B9" s="380"/>
      <c r="C9" s="372"/>
      <c r="D9" s="372"/>
      <c r="E9" s="372"/>
      <c r="F9" s="372"/>
      <c r="G9" s="372"/>
      <c r="H9" s="372"/>
      <c r="I9" s="372"/>
    </row>
    <row r="10" spans="1:9" x14ac:dyDescent="0.3">
      <c r="A10" s="151" t="s">
        <v>17</v>
      </c>
      <c r="B10" s="65" t="s">
        <v>426</v>
      </c>
      <c r="C10" s="106">
        <v>23669500</v>
      </c>
      <c r="D10" s="143">
        <v>23669500</v>
      </c>
      <c r="E10" s="106">
        <v>24000000</v>
      </c>
      <c r="F10" s="106">
        <v>-22434000</v>
      </c>
      <c r="G10" s="106">
        <f>E10+F10</f>
        <v>1566000</v>
      </c>
      <c r="H10" s="106">
        <v>-1566000</v>
      </c>
      <c r="I10" s="106">
        <f>G10+H10</f>
        <v>0</v>
      </c>
    </row>
    <row r="11" spans="1:9" s="153" customFormat="1" x14ac:dyDescent="0.3">
      <c r="A11" s="152"/>
      <c r="B11" s="147"/>
      <c r="C11" s="148">
        <f t="shared" ref="C11" si="0">SUM(C10)</f>
        <v>23669500</v>
      </c>
      <c r="D11" s="144">
        <v>23669500</v>
      </c>
      <c r="E11" s="148">
        <f t="shared" ref="E11:F11" si="1">SUM(E10)</f>
        <v>24000000</v>
      </c>
      <c r="F11" s="148">
        <f t="shared" si="1"/>
        <v>-22434000</v>
      </c>
      <c r="G11" s="148">
        <f t="shared" ref="G11:G25" si="2">E11+F11</f>
        <v>1566000</v>
      </c>
      <c r="H11" s="148">
        <f t="shared" ref="H11" si="3">SUM(H10)</f>
        <v>-1566000</v>
      </c>
      <c r="I11" s="148">
        <f t="shared" ref="I11:I15" si="4">G11+H11</f>
        <v>0</v>
      </c>
    </row>
    <row r="12" spans="1:9" ht="17.100000000000001" customHeight="1" x14ac:dyDescent="0.3">
      <c r="A12" s="151" t="s">
        <v>18</v>
      </c>
      <c r="B12" s="107" t="s">
        <v>471</v>
      </c>
      <c r="C12" s="106">
        <v>500000</v>
      </c>
      <c r="D12" s="143">
        <v>500000</v>
      </c>
      <c r="E12" s="106">
        <v>1400000</v>
      </c>
      <c r="F12" s="106"/>
      <c r="G12" s="106">
        <f t="shared" si="2"/>
        <v>1400000</v>
      </c>
      <c r="H12" s="106"/>
      <c r="I12" s="106">
        <f t="shared" si="4"/>
        <v>1400000</v>
      </c>
    </row>
    <row r="13" spans="1:9" ht="17.100000000000001" customHeight="1" x14ac:dyDescent="0.3">
      <c r="A13" s="151" t="s">
        <v>242</v>
      </c>
      <c r="B13" s="107" t="s">
        <v>479</v>
      </c>
      <c r="C13" s="106">
        <v>7000000</v>
      </c>
      <c r="D13" s="143">
        <v>7000000</v>
      </c>
      <c r="E13" s="106">
        <v>8750000</v>
      </c>
      <c r="F13" s="106"/>
      <c r="G13" s="106">
        <f t="shared" si="2"/>
        <v>8750000</v>
      </c>
      <c r="H13" s="106"/>
      <c r="I13" s="106">
        <f t="shared" si="4"/>
        <v>8750000</v>
      </c>
    </row>
    <row r="14" spans="1:9" ht="17.100000000000001" customHeight="1" x14ac:dyDescent="0.3">
      <c r="A14" s="151" t="s">
        <v>245</v>
      </c>
      <c r="B14" s="107" t="s">
        <v>475</v>
      </c>
      <c r="C14" s="106">
        <v>550000</v>
      </c>
      <c r="D14" s="143">
        <v>550000</v>
      </c>
      <c r="E14" s="106">
        <v>900000</v>
      </c>
      <c r="F14" s="106"/>
      <c r="G14" s="106">
        <f t="shared" si="2"/>
        <v>900000</v>
      </c>
      <c r="H14" s="106"/>
      <c r="I14" s="106">
        <f t="shared" si="4"/>
        <v>900000</v>
      </c>
    </row>
    <row r="15" spans="1:9" ht="17.100000000000001" customHeight="1" x14ac:dyDescent="0.3">
      <c r="A15" s="151" t="s">
        <v>246</v>
      </c>
      <c r="B15" s="107" t="s">
        <v>519</v>
      </c>
      <c r="C15" s="106"/>
      <c r="D15" s="143"/>
      <c r="E15" s="106"/>
      <c r="F15" s="106">
        <v>100000</v>
      </c>
      <c r="G15" s="106">
        <f t="shared" si="2"/>
        <v>100000</v>
      </c>
      <c r="H15" s="106"/>
      <c r="I15" s="106">
        <f t="shared" si="4"/>
        <v>100000</v>
      </c>
    </row>
    <row r="16" spans="1:9" ht="17.100000000000001" customHeight="1" x14ac:dyDescent="0.3">
      <c r="A16" s="151" t="s">
        <v>247</v>
      </c>
      <c r="B16" s="107" t="s">
        <v>520</v>
      </c>
      <c r="C16" s="106"/>
      <c r="D16" s="143"/>
      <c r="E16" s="106"/>
      <c r="F16" s="106">
        <v>2400000</v>
      </c>
      <c r="G16" s="106">
        <f>E16+F16</f>
        <v>2400000</v>
      </c>
      <c r="H16" s="106"/>
      <c r="I16" s="106">
        <f>G16+H16</f>
        <v>2400000</v>
      </c>
    </row>
    <row r="17" spans="1:9" ht="17.100000000000001" customHeight="1" x14ac:dyDescent="0.3">
      <c r="A17" s="151" t="s">
        <v>249</v>
      </c>
      <c r="B17" s="107" t="s">
        <v>477</v>
      </c>
      <c r="C17" s="106">
        <v>3000000</v>
      </c>
      <c r="D17" s="143">
        <v>3000000</v>
      </c>
      <c r="E17" s="106">
        <v>3000000</v>
      </c>
      <c r="F17" s="106">
        <v>-1000000</v>
      </c>
      <c r="G17" s="106">
        <f t="shared" si="2"/>
        <v>2000000</v>
      </c>
      <c r="H17" s="106"/>
      <c r="I17" s="106">
        <f t="shared" ref="I17:I25" si="5">G17+H17</f>
        <v>2000000</v>
      </c>
    </row>
    <row r="18" spans="1:9" ht="17.100000000000001" customHeight="1" x14ac:dyDescent="0.3">
      <c r="A18" s="151" t="s">
        <v>251</v>
      </c>
      <c r="B18" s="107" t="s">
        <v>478</v>
      </c>
      <c r="C18" s="106">
        <v>100000</v>
      </c>
      <c r="D18" s="143">
        <v>100000</v>
      </c>
      <c r="E18" s="106">
        <v>100000</v>
      </c>
      <c r="F18" s="106"/>
      <c r="G18" s="106">
        <f t="shared" si="2"/>
        <v>100000</v>
      </c>
      <c r="H18" s="106"/>
      <c r="I18" s="106">
        <f t="shared" si="5"/>
        <v>100000</v>
      </c>
    </row>
    <row r="19" spans="1:9" ht="30" customHeight="1" x14ac:dyDescent="0.3">
      <c r="A19" s="151" t="s">
        <v>252</v>
      </c>
      <c r="B19" s="107" t="s">
        <v>472</v>
      </c>
      <c r="C19" s="106">
        <v>70000</v>
      </c>
      <c r="D19" s="143">
        <v>70000</v>
      </c>
      <c r="E19" s="106">
        <v>200000</v>
      </c>
      <c r="F19" s="106">
        <f>500000+180000</f>
        <v>680000</v>
      </c>
      <c r="G19" s="106">
        <f t="shared" si="2"/>
        <v>880000</v>
      </c>
      <c r="H19" s="106"/>
      <c r="I19" s="106">
        <f t="shared" si="5"/>
        <v>880000</v>
      </c>
    </row>
    <row r="20" spans="1:9" ht="17.100000000000001" customHeight="1" x14ac:dyDescent="0.3">
      <c r="A20" s="151" t="s">
        <v>253</v>
      </c>
      <c r="B20" s="107" t="s">
        <v>473</v>
      </c>
      <c r="C20" s="106">
        <v>100000</v>
      </c>
      <c r="D20" s="143">
        <v>100000</v>
      </c>
      <c r="E20" s="106">
        <v>100000</v>
      </c>
      <c r="F20" s="106"/>
      <c r="G20" s="106">
        <f t="shared" si="2"/>
        <v>100000</v>
      </c>
      <c r="H20" s="106"/>
      <c r="I20" s="106">
        <f t="shared" si="5"/>
        <v>100000</v>
      </c>
    </row>
    <row r="21" spans="1:9" ht="17.100000000000001" customHeight="1" x14ac:dyDescent="0.3">
      <c r="A21" s="151" t="s">
        <v>255</v>
      </c>
      <c r="B21" s="107" t="s">
        <v>474</v>
      </c>
      <c r="C21" s="106">
        <v>500000</v>
      </c>
      <c r="D21" s="143">
        <v>500000</v>
      </c>
      <c r="E21" s="106">
        <v>500000</v>
      </c>
      <c r="F21" s="106"/>
      <c r="G21" s="106">
        <f t="shared" si="2"/>
        <v>500000</v>
      </c>
      <c r="H21" s="106"/>
      <c r="I21" s="106">
        <f t="shared" si="5"/>
        <v>500000</v>
      </c>
    </row>
    <row r="22" spans="1:9" ht="17.100000000000001" customHeight="1" x14ac:dyDescent="0.3">
      <c r="A22" s="151" t="s">
        <v>258</v>
      </c>
      <c r="B22" s="107" t="s">
        <v>476</v>
      </c>
      <c r="C22" s="106">
        <v>150000</v>
      </c>
      <c r="D22" s="143">
        <v>150000</v>
      </c>
      <c r="E22" s="106">
        <v>150000</v>
      </c>
      <c r="F22" s="106">
        <v>350000</v>
      </c>
      <c r="G22" s="106">
        <f t="shared" si="2"/>
        <v>500000</v>
      </c>
      <c r="H22" s="106"/>
      <c r="I22" s="106">
        <f t="shared" si="5"/>
        <v>500000</v>
      </c>
    </row>
    <row r="23" spans="1:9" ht="17.100000000000001" customHeight="1" x14ac:dyDescent="0.3">
      <c r="A23" s="151" t="s">
        <v>261</v>
      </c>
      <c r="B23" s="107" t="s">
        <v>427</v>
      </c>
      <c r="C23" s="106">
        <v>350000</v>
      </c>
      <c r="D23" s="143">
        <v>350000</v>
      </c>
      <c r="E23" s="106">
        <v>200000</v>
      </c>
      <c r="F23" s="106"/>
      <c r="G23" s="106">
        <f t="shared" si="2"/>
        <v>200000</v>
      </c>
      <c r="H23" s="106"/>
      <c r="I23" s="106">
        <f t="shared" si="5"/>
        <v>200000</v>
      </c>
    </row>
    <row r="24" spans="1:9" s="153" customFormat="1" x14ac:dyDescent="0.3">
      <c r="A24" s="152"/>
      <c r="B24" s="149"/>
      <c r="C24" s="148">
        <f>SUM(C12:C23)</f>
        <v>12320000</v>
      </c>
      <c r="D24" s="144">
        <v>12320000</v>
      </c>
      <c r="E24" s="148">
        <f>SUM(E12:E23)</f>
        <v>15300000</v>
      </c>
      <c r="F24" s="148">
        <f>SUM(F12:F23)</f>
        <v>2530000</v>
      </c>
      <c r="G24" s="148">
        <f t="shared" si="2"/>
        <v>17830000</v>
      </c>
      <c r="H24" s="148">
        <f>SUM(H12:H23)</f>
        <v>0</v>
      </c>
      <c r="I24" s="148">
        <f t="shared" si="5"/>
        <v>17830000</v>
      </c>
    </row>
    <row r="25" spans="1:9" x14ac:dyDescent="0.3">
      <c r="A25" s="377" t="s">
        <v>428</v>
      </c>
      <c r="B25" s="378"/>
      <c r="C25" s="154">
        <f>+C11+C24</f>
        <v>35989500</v>
      </c>
      <c r="D25" s="154">
        <f>+D11+D24</f>
        <v>35989500</v>
      </c>
      <c r="E25" s="154">
        <f>+E11+E24</f>
        <v>39300000</v>
      </c>
      <c r="F25" s="154">
        <f>+F11+F24</f>
        <v>-19904000</v>
      </c>
      <c r="G25" s="154">
        <f t="shared" si="2"/>
        <v>19396000</v>
      </c>
      <c r="H25" s="154">
        <f>+H11+H24</f>
        <v>-1566000</v>
      </c>
      <c r="I25" s="154">
        <f t="shared" si="5"/>
        <v>17830000</v>
      </c>
    </row>
  </sheetData>
  <mergeCells count="16">
    <mergeCell ref="A25:B25"/>
    <mergeCell ref="A6:A9"/>
    <mergeCell ref="B6:B9"/>
    <mergeCell ref="C6:C9"/>
    <mergeCell ref="D6:D9"/>
    <mergeCell ref="H6:H9"/>
    <mergeCell ref="I6:I9"/>
    <mergeCell ref="A2:E2"/>
    <mergeCell ref="A3:E3"/>
    <mergeCell ref="A4:B4"/>
    <mergeCell ref="D4:E4"/>
    <mergeCell ref="A5:C5"/>
    <mergeCell ref="D5:E5"/>
    <mergeCell ref="F6:F9"/>
    <mergeCell ref="G6:G9"/>
    <mergeCell ref="E6:E9"/>
  </mergeCells>
  <phoneticPr fontId="54" type="noConversion"/>
  <pageMargins left="0.98425196850393704" right="0.98425196850393704" top="0.98425196850393704" bottom="0.98425196850393704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52"/>
  <sheetViews>
    <sheetView zoomScaleNormal="100" zoomScaleSheetLayoutView="100" workbookViewId="0">
      <selection activeCell="A5" sqref="A5:B5"/>
    </sheetView>
  </sheetViews>
  <sheetFormatPr defaultColWidth="8.5546875" defaultRowHeight="13.8" x14ac:dyDescent="0.25"/>
  <cols>
    <col min="1" max="1" width="6.5546875" style="127" customWidth="1"/>
    <col min="2" max="2" width="56" style="127" customWidth="1"/>
    <col min="3" max="3" width="20.77734375" style="127" hidden="1" customWidth="1"/>
    <col min="4" max="4" width="17.44140625" style="127" hidden="1" customWidth="1"/>
    <col min="5" max="5" width="16" style="127" customWidth="1"/>
    <col min="6" max="6" width="13" style="6" customWidth="1"/>
    <col min="7" max="8" width="11.5546875" style="6" customWidth="1"/>
    <col min="9" max="9" width="16" style="127" customWidth="1"/>
    <col min="10" max="10" width="13" style="6" customWidth="1"/>
    <col min="11" max="12" width="11.5546875" style="6" customWidth="1"/>
    <col min="13" max="13" width="16" style="127" customWidth="1"/>
    <col min="14" max="14" width="13" style="6" customWidth="1"/>
    <col min="15" max="16" width="11.5546875" style="6" customWidth="1"/>
    <col min="17" max="17" width="16" style="127" customWidth="1"/>
    <col min="18" max="18" width="13" style="6" customWidth="1"/>
    <col min="19" max="20" width="11.5546875" style="6" customWidth="1"/>
    <col min="21" max="21" width="16" style="127" customWidth="1"/>
    <col min="22" max="22" width="13" style="6" customWidth="1"/>
    <col min="23" max="24" width="11.5546875" style="6" customWidth="1"/>
    <col min="25" max="16384" width="8.5546875" style="127"/>
  </cols>
  <sheetData>
    <row r="2" spans="1:24" ht="17.100000000000001" customHeight="1" x14ac:dyDescent="0.35">
      <c r="A2" s="301" t="s">
        <v>467</v>
      </c>
      <c r="B2" s="301"/>
      <c r="C2" s="301"/>
      <c r="D2" s="301"/>
      <c r="E2" s="301"/>
      <c r="F2" s="301"/>
      <c r="G2" s="301"/>
      <c r="H2" s="301"/>
      <c r="J2" s="127"/>
      <c r="K2" s="127"/>
      <c r="L2" s="127"/>
      <c r="N2" s="127"/>
      <c r="O2" s="127"/>
      <c r="P2" s="127"/>
      <c r="R2" s="127"/>
      <c r="S2" s="127"/>
      <c r="T2" s="127"/>
      <c r="V2" s="127"/>
      <c r="W2" s="127"/>
      <c r="X2" s="127"/>
    </row>
    <row r="3" spans="1:24" ht="17.100000000000001" customHeight="1" x14ac:dyDescent="0.35">
      <c r="A3" s="301" t="s">
        <v>327</v>
      </c>
      <c r="B3" s="301"/>
      <c r="C3" s="301"/>
      <c r="D3" s="301"/>
      <c r="E3" s="301"/>
      <c r="F3" s="301"/>
      <c r="G3" s="301"/>
      <c r="H3" s="301"/>
      <c r="J3" s="127"/>
      <c r="K3" s="127"/>
      <c r="L3" s="127"/>
      <c r="N3" s="127"/>
      <c r="O3" s="127"/>
      <c r="P3" s="127"/>
      <c r="R3" s="127"/>
      <c r="S3" s="127"/>
      <c r="T3" s="127"/>
      <c r="V3" s="127"/>
      <c r="W3" s="127"/>
      <c r="X3" s="127"/>
    </row>
    <row r="4" spans="1:24" ht="17.100000000000001" customHeight="1" x14ac:dyDescent="0.3">
      <c r="A4" s="303" t="s">
        <v>566</v>
      </c>
      <c r="B4" s="303"/>
      <c r="C4" s="145"/>
      <c r="D4" s="302"/>
      <c r="E4" s="302"/>
      <c r="F4" s="236"/>
      <c r="G4" s="236"/>
      <c r="H4" s="236"/>
      <c r="J4" s="236"/>
      <c r="K4" s="236"/>
      <c r="L4" s="236"/>
      <c r="N4" s="236"/>
      <c r="O4" s="236"/>
      <c r="P4" s="236"/>
      <c r="R4" s="236"/>
      <c r="S4" s="236"/>
      <c r="T4" s="236"/>
      <c r="V4" s="236"/>
      <c r="W4" s="236"/>
      <c r="X4" s="236"/>
    </row>
    <row r="5" spans="1:24" ht="17.100000000000001" customHeight="1" x14ac:dyDescent="0.3">
      <c r="A5" s="303" t="s">
        <v>550</v>
      </c>
      <c r="B5" s="303"/>
      <c r="C5" s="145"/>
      <c r="D5" s="304"/>
      <c r="E5" s="304"/>
      <c r="F5" s="238"/>
      <c r="G5" s="305" t="s">
        <v>15</v>
      </c>
      <c r="H5" s="305"/>
      <c r="I5" s="223"/>
      <c r="J5" s="238"/>
      <c r="K5" s="305" t="s">
        <v>15</v>
      </c>
      <c r="L5" s="305"/>
      <c r="N5" s="238"/>
      <c r="O5" s="305" t="s">
        <v>15</v>
      </c>
      <c r="P5" s="305"/>
      <c r="Q5" s="223"/>
      <c r="R5" s="238"/>
      <c r="S5" s="305" t="s">
        <v>15</v>
      </c>
      <c r="T5" s="305"/>
      <c r="V5" s="238"/>
      <c r="W5" s="305" t="s">
        <v>15</v>
      </c>
      <c r="X5" s="305"/>
    </row>
    <row r="6" spans="1:24" ht="17.100000000000001" customHeight="1" x14ac:dyDescent="0.25">
      <c r="A6" s="308" t="s">
        <v>19</v>
      </c>
      <c r="B6" s="308" t="s">
        <v>358</v>
      </c>
      <c r="C6" s="308" t="s">
        <v>484</v>
      </c>
      <c r="D6" s="300" t="s">
        <v>483</v>
      </c>
      <c r="E6" s="300" t="s">
        <v>480</v>
      </c>
      <c r="F6" s="300" t="s">
        <v>480</v>
      </c>
      <c r="G6" s="300"/>
      <c r="H6" s="300"/>
      <c r="I6" s="300" t="s">
        <v>511</v>
      </c>
      <c r="J6" s="300" t="s">
        <v>511</v>
      </c>
      <c r="K6" s="300"/>
      <c r="L6" s="300"/>
      <c r="M6" s="300" t="s">
        <v>518</v>
      </c>
      <c r="N6" s="300" t="s">
        <v>512</v>
      </c>
      <c r="O6" s="300"/>
      <c r="P6" s="300"/>
      <c r="Q6" s="300" t="s">
        <v>531</v>
      </c>
      <c r="R6" s="300" t="s">
        <v>531</v>
      </c>
      <c r="S6" s="300"/>
      <c r="T6" s="300"/>
      <c r="U6" s="300" t="s">
        <v>542</v>
      </c>
      <c r="V6" s="300" t="s">
        <v>532</v>
      </c>
      <c r="W6" s="300"/>
      <c r="X6" s="300"/>
    </row>
    <row r="7" spans="1:24" ht="44.85" customHeight="1" x14ac:dyDescent="0.25">
      <c r="A7" s="309"/>
      <c r="B7" s="309"/>
      <c r="C7" s="309"/>
      <c r="D7" s="300"/>
      <c r="E7" s="300"/>
      <c r="F7" s="235" t="s">
        <v>204</v>
      </c>
      <c r="G7" s="235" t="s">
        <v>205</v>
      </c>
      <c r="H7" s="235" t="s">
        <v>359</v>
      </c>
      <c r="I7" s="300"/>
      <c r="J7" s="235" t="s">
        <v>204</v>
      </c>
      <c r="K7" s="235" t="s">
        <v>205</v>
      </c>
      <c r="L7" s="235" t="s">
        <v>359</v>
      </c>
      <c r="M7" s="300"/>
      <c r="N7" s="235" t="s">
        <v>204</v>
      </c>
      <c r="O7" s="235" t="s">
        <v>205</v>
      </c>
      <c r="P7" s="235" t="s">
        <v>359</v>
      </c>
      <c r="Q7" s="300"/>
      <c r="R7" s="235" t="s">
        <v>204</v>
      </c>
      <c r="S7" s="235" t="s">
        <v>205</v>
      </c>
      <c r="T7" s="235" t="s">
        <v>359</v>
      </c>
      <c r="U7" s="300"/>
      <c r="V7" s="235" t="s">
        <v>204</v>
      </c>
      <c r="W7" s="235" t="s">
        <v>205</v>
      </c>
      <c r="X7" s="235" t="s">
        <v>359</v>
      </c>
    </row>
    <row r="8" spans="1:24" ht="17.100000000000001" customHeight="1" x14ac:dyDescent="0.3">
      <c r="A8" s="26" t="s">
        <v>23</v>
      </c>
      <c r="B8" s="26" t="s">
        <v>24</v>
      </c>
      <c r="C8" s="122">
        <f>+'2a. Önkormányzat bevételek'!C8+'4. Művelődési Ház'!C8+'3a. Hivatal'!C8</f>
        <v>328829198</v>
      </c>
      <c r="D8" s="122">
        <f>+'2a. Önkormányzat bevételek'!D8+'4. Művelődési Ház'!D8+'3a. Hivatal'!D8</f>
        <v>336584944</v>
      </c>
      <c r="E8" s="122">
        <f>+'2a. Önkormányzat bevételek'!E8+'4. Művelődési Ház'!E8+'3a. Hivatal'!E8</f>
        <v>321498753</v>
      </c>
      <c r="F8" s="122">
        <f>+'2a. Önkormányzat bevételek'!F8+'4. Művelődési Ház'!F8+'3a. Hivatal'!F8</f>
        <v>321498753</v>
      </c>
      <c r="G8" s="122">
        <f>+'2a. Önkormányzat bevételek'!G8+'4. Művelődési Ház'!G8</f>
        <v>0</v>
      </c>
      <c r="H8" s="134">
        <f t="shared" ref="H8" si="0">H9+H15</f>
        <v>0</v>
      </c>
      <c r="I8" s="122">
        <f>+'2a. Önkormányzat bevételek'!I8+'4. Művelődési Ház'!I8+'3a. Hivatal'!I8</f>
        <v>13330650</v>
      </c>
      <c r="J8" s="122">
        <f>I8</f>
        <v>13330650</v>
      </c>
      <c r="K8" s="122">
        <v>0</v>
      </c>
      <c r="L8" s="134">
        <f t="shared" ref="L8" si="1">L9+L15</f>
        <v>0</v>
      </c>
      <c r="M8" s="122">
        <f>E8+I8</f>
        <v>334829403</v>
      </c>
      <c r="N8" s="122">
        <f>F8+J8</f>
        <v>334829403</v>
      </c>
      <c r="O8" s="122">
        <f>G8+K8</f>
        <v>0</v>
      </c>
      <c r="P8" s="122">
        <f t="shared" ref="P8" si="2">P9+P15</f>
        <v>0</v>
      </c>
      <c r="Q8" s="122">
        <f>+'2a. Önkormányzat bevételek'!Q8+'4. Művelődési Ház'!N8+'3a. Hivatal'!N8</f>
        <v>25718583</v>
      </c>
      <c r="R8" s="122">
        <f>Q8</f>
        <v>25718583</v>
      </c>
      <c r="S8" s="122">
        <v>0</v>
      </c>
      <c r="T8" s="134">
        <f t="shared" ref="T8" si="3">T9+T15</f>
        <v>0</v>
      </c>
      <c r="U8" s="122">
        <f>M8+Q8</f>
        <v>360547986</v>
      </c>
      <c r="V8" s="122">
        <f>N8+R8</f>
        <v>360547986</v>
      </c>
      <c r="W8" s="122">
        <f>O8+S8</f>
        <v>0</v>
      </c>
      <c r="X8" s="122">
        <f t="shared" ref="X8" si="4">X9+X15</f>
        <v>0</v>
      </c>
    </row>
    <row r="9" spans="1:24" ht="17.100000000000001" hidden="1" customHeight="1" x14ac:dyDescent="0.3">
      <c r="A9" s="23" t="s">
        <v>25</v>
      </c>
      <c r="B9" s="23" t="s">
        <v>26</v>
      </c>
      <c r="C9" s="24"/>
      <c r="D9" s="24"/>
      <c r="E9" s="24"/>
      <c r="F9" s="24"/>
      <c r="G9" s="25"/>
      <c r="H9" s="25"/>
      <c r="I9" s="24"/>
      <c r="J9" s="24">
        <f t="shared" ref="J9:J48" si="5">I9</f>
        <v>0</v>
      </c>
      <c r="K9" s="25"/>
      <c r="L9" s="25"/>
      <c r="M9" s="24">
        <f t="shared" ref="M9:M49" si="6">E9+I9</f>
        <v>0</v>
      </c>
      <c r="N9" s="24">
        <f t="shared" ref="N9:N49" si="7">F9+J9</f>
        <v>0</v>
      </c>
      <c r="O9" s="24">
        <f t="shared" ref="O9:O49" si="8">G9+K9</f>
        <v>0</v>
      </c>
      <c r="P9" s="24"/>
      <c r="Q9" s="24"/>
      <c r="R9" s="24">
        <f t="shared" ref="R9:R25" si="9">Q9</f>
        <v>0</v>
      </c>
      <c r="S9" s="25"/>
      <c r="T9" s="25"/>
      <c r="U9" s="24">
        <f t="shared" ref="U9:U48" si="10">M9+Q9</f>
        <v>0</v>
      </c>
      <c r="V9" s="24">
        <f t="shared" ref="V9:V49" si="11">N9+R9</f>
        <v>0</v>
      </c>
      <c r="W9" s="24">
        <f t="shared" ref="W9:W49" si="12">O9+S9</f>
        <v>0</v>
      </c>
      <c r="X9" s="24"/>
    </row>
    <row r="10" spans="1:24" ht="17.100000000000001" hidden="1" customHeight="1" x14ac:dyDescent="0.3">
      <c r="A10" s="23" t="s">
        <v>27</v>
      </c>
      <c r="B10" s="23" t="s">
        <v>28</v>
      </c>
      <c r="C10" s="24"/>
      <c r="D10" s="24"/>
      <c r="E10" s="24"/>
      <c r="F10" s="24"/>
      <c r="G10" s="25"/>
      <c r="H10" s="25"/>
      <c r="I10" s="24"/>
      <c r="J10" s="24">
        <f t="shared" si="5"/>
        <v>0</v>
      </c>
      <c r="K10" s="25"/>
      <c r="L10" s="25"/>
      <c r="M10" s="24">
        <f t="shared" si="6"/>
        <v>0</v>
      </c>
      <c r="N10" s="24">
        <f t="shared" si="7"/>
        <v>0</v>
      </c>
      <c r="O10" s="24">
        <f t="shared" si="8"/>
        <v>0</v>
      </c>
      <c r="P10" s="24"/>
      <c r="Q10" s="24"/>
      <c r="R10" s="24">
        <f t="shared" si="9"/>
        <v>0</v>
      </c>
      <c r="S10" s="25"/>
      <c r="T10" s="25"/>
      <c r="U10" s="24">
        <f t="shared" si="10"/>
        <v>0</v>
      </c>
      <c r="V10" s="24">
        <f t="shared" si="11"/>
        <v>0</v>
      </c>
      <c r="W10" s="24">
        <f t="shared" si="12"/>
        <v>0</v>
      </c>
      <c r="X10" s="24"/>
    </row>
    <row r="11" spans="1:24" ht="17.100000000000001" hidden="1" customHeight="1" x14ac:dyDescent="0.3">
      <c r="A11" s="23" t="s">
        <v>29</v>
      </c>
      <c r="B11" s="23" t="s">
        <v>30</v>
      </c>
      <c r="C11" s="24"/>
      <c r="D11" s="24"/>
      <c r="E11" s="24"/>
      <c r="F11" s="24"/>
      <c r="G11" s="25"/>
      <c r="H11" s="25"/>
      <c r="I11" s="24"/>
      <c r="J11" s="24">
        <f t="shared" si="5"/>
        <v>0</v>
      </c>
      <c r="K11" s="25"/>
      <c r="L11" s="25"/>
      <c r="M11" s="24">
        <f t="shared" si="6"/>
        <v>0</v>
      </c>
      <c r="N11" s="24">
        <f t="shared" si="7"/>
        <v>0</v>
      </c>
      <c r="O11" s="24">
        <f t="shared" si="8"/>
        <v>0</v>
      </c>
      <c r="P11" s="24"/>
      <c r="Q11" s="24"/>
      <c r="R11" s="24">
        <f t="shared" si="9"/>
        <v>0</v>
      </c>
      <c r="S11" s="25"/>
      <c r="T11" s="25"/>
      <c r="U11" s="24">
        <f t="shared" si="10"/>
        <v>0</v>
      </c>
      <c r="V11" s="24">
        <f t="shared" si="11"/>
        <v>0</v>
      </c>
      <c r="W11" s="24">
        <f t="shared" si="12"/>
        <v>0</v>
      </c>
      <c r="X11" s="24"/>
    </row>
    <row r="12" spans="1:24" ht="17.100000000000001" hidden="1" customHeight="1" x14ac:dyDescent="0.3">
      <c r="A12" s="23" t="s">
        <v>31</v>
      </c>
      <c r="B12" s="23" t="s">
        <v>32</v>
      </c>
      <c r="C12" s="24"/>
      <c r="D12" s="24"/>
      <c r="E12" s="24"/>
      <c r="F12" s="24"/>
      <c r="G12" s="25"/>
      <c r="H12" s="25"/>
      <c r="I12" s="24"/>
      <c r="J12" s="24">
        <f t="shared" si="5"/>
        <v>0</v>
      </c>
      <c r="K12" s="25"/>
      <c r="L12" s="25"/>
      <c r="M12" s="24">
        <f t="shared" si="6"/>
        <v>0</v>
      </c>
      <c r="N12" s="24">
        <f t="shared" si="7"/>
        <v>0</v>
      </c>
      <c r="O12" s="24">
        <f t="shared" si="8"/>
        <v>0</v>
      </c>
      <c r="P12" s="24"/>
      <c r="Q12" s="24"/>
      <c r="R12" s="24">
        <f t="shared" si="9"/>
        <v>0</v>
      </c>
      <c r="S12" s="25"/>
      <c r="T12" s="25"/>
      <c r="U12" s="24">
        <f t="shared" si="10"/>
        <v>0</v>
      </c>
      <c r="V12" s="24">
        <f t="shared" si="11"/>
        <v>0</v>
      </c>
      <c r="W12" s="24">
        <f t="shared" si="12"/>
        <v>0</v>
      </c>
      <c r="X12" s="24"/>
    </row>
    <row r="13" spans="1:24" ht="17.100000000000001" hidden="1" customHeight="1" x14ac:dyDescent="0.3">
      <c r="A13" s="23" t="s">
        <v>33</v>
      </c>
      <c r="B13" s="23" t="s">
        <v>34</v>
      </c>
      <c r="C13" s="24"/>
      <c r="D13" s="24"/>
      <c r="E13" s="24"/>
      <c r="F13" s="24"/>
      <c r="G13" s="25"/>
      <c r="H13" s="25"/>
      <c r="I13" s="24"/>
      <c r="J13" s="24">
        <f t="shared" si="5"/>
        <v>0</v>
      </c>
      <c r="K13" s="25"/>
      <c r="L13" s="25"/>
      <c r="M13" s="24">
        <f t="shared" si="6"/>
        <v>0</v>
      </c>
      <c r="N13" s="24">
        <f t="shared" si="7"/>
        <v>0</v>
      </c>
      <c r="O13" s="24">
        <f t="shared" si="8"/>
        <v>0</v>
      </c>
      <c r="P13" s="24"/>
      <c r="Q13" s="24"/>
      <c r="R13" s="24">
        <f t="shared" si="9"/>
        <v>0</v>
      </c>
      <c r="S13" s="25"/>
      <c r="T13" s="25"/>
      <c r="U13" s="24">
        <f t="shared" si="10"/>
        <v>0</v>
      </c>
      <c r="V13" s="24">
        <f t="shared" si="11"/>
        <v>0</v>
      </c>
      <c r="W13" s="24">
        <f t="shared" si="12"/>
        <v>0</v>
      </c>
      <c r="X13" s="24"/>
    </row>
    <row r="14" spans="1:24" ht="17.100000000000001" hidden="1" customHeight="1" x14ac:dyDescent="0.3">
      <c r="A14" s="23" t="s">
        <v>35</v>
      </c>
      <c r="B14" s="23" t="s">
        <v>36</v>
      </c>
      <c r="C14" s="24"/>
      <c r="D14" s="24"/>
      <c r="E14" s="24"/>
      <c r="F14" s="24"/>
      <c r="G14" s="25"/>
      <c r="H14" s="25"/>
      <c r="I14" s="24"/>
      <c r="J14" s="24">
        <f t="shared" si="5"/>
        <v>0</v>
      </c>
      <c r="K14" s="25"/>
      <c r="L14" s="25"/>
      <c r="M14" s="24">
        <f t="shared" si="6"/>
        <v>0</v>
      </c>
      <c r="N14" s="24">
        <f t="shared" si="7"/>
        <v>0</v>
      </c>
      <c r="O14" s="24">
        <f t="shared" si="8"/>
        <v>0</v>
      </c>
      <c r="P14" s="24"/>
      <c r="Q14" s="24"/>
      <c r="R14" s="24">
        <f t="shared" si="9"/>
        <v>0</v>
      </c>
      <c r="S14" s="25"/>
      <c r="T14" s="25"/>
      <c r="U14" s="24">
        <f t="shared" si="10"/>
        <v>0</v>
      </c>
      <c r="V14" s="24">
        <f t="shared" si="11"/>
        <v>0</v>
      </c>
      <c r="W14" s="24">
        <f t="shared" si="12"/>
        <v>0</v>
      </c>
      <c r="X14" s="24"/>
    </row>
    <row r="15" spans="1:24" ht="17.100000000000001" hidden="1" customHeight="1" x14ac:dyDescent="0.3">
      <c r="A15" s="23" t="s">
        <v>37</v>
      </c>
      <c r="B15" s="23" t="s">
        <v>38</v>
      </c>
      <c r="C15" s="24"/>
      <c r="D15" s="24"/>
      <c r="E15" s="24"/>
      <c r="F15" s="24"/>
      <c r="G15" s="25"/>
      <c r="H15" s="25"/>
      <c r="I15" s="24"/>
      <c r="J15" s="24">
        <f t="shared" si="5"/>
        <v>0</v>
      </c>
      <c r="K15" s="25"/>
      <c r="L15" s="25"/>
      <c r="M15" s="24">
        <f t="shared" si="6"/>
        <v>0</v>
      </c>
      <c r="N15" s="24">
        <f t="shared" si="7"/>
        <v>0</v>
      </c>
      <c r="O15" s="24">
        <f t="shared" si="8"/>
        <v>0</v>
      </c>
      <c r="P15" s="24"/>
      <c r="Q15" s="24"/>
      <c r="R15" s="24">
        <f t="shared" si="9"/>
        <v>0</v>
      </c>
      <c r="S15" s="25"/>
      <c r="T15" s="25"/>
      <c r="U15" s="24">
        <f t="shared" si="10"/>
        <v>0</v>
      </c>
      <c r="V15" s="24">
        <f t="shared" si="11"/>
        <v>0</v>
      </c>
      <c r="W15" s="24">
        <f t="shared" si="12"/>
        <v>0</v>
      </c>
      <c r="X15" s="24"/>
    </row>
    <row r="16" spans="1:24" ht="17.100000000000001" customHeight="1" x14ac:dyDescent="0.3">
      <c r="A16" s="26" t="s">
        <v>39</v>
      </c>
      <c r="B16" s="26" t="s">
        <v>40</v>
      </c>
      <c r="C16" s="122">
        <f>+'2a. Önkormányzat bevételek'!C16</f>
        <v>228780000</v>
      </c>
      <c r="D16" s="122">
        <f>+'2a. Önkormányzat bevételek'!D16</f>
        <v>187495173</v>
      </c>
      <c r="E16" s="122">
        <f>+'2a. Önkormányzat bevételek'!E16</f>
        <v>108487500</v>
      </c>
      <c r="F16" s="122">
        <f>+'2a. Önkormányzat bevételek'!F16</f>
        <v>108487500</v>
      </c>
      <c r="G16" s="122">
        <f>+'2a. Önkormányzat bevételek'!G16</f>
        <v>0</v>
      </c>
      <c r="H16" s="134">
        <f t="shared" ref="H16" si="13">H17+H18</f>
        <v>0</v>
      </c>
      <c r="I16" s="122">
        <f>+'2a. Önkormányzat bevételek'!I16</f>
        <v>46023207</v>
      </c>
      <c r="J16" s="122">
        <f t="shared" si="5"/>
        <v>46023207</v>
      </c>
      <c r="K16" s="122">
        <v>0</v>
      </c>
      <c r="L16" s="134">
        <f t="shared" ref="L16" si="14">L17+L18</f>
        <v>0</v>
      </c>
      <c r="M16" s="122">
        <f t="shared" si="6"/>
        <v>154510707</v>
      </c>
      <c r="N16" s="122">
        <f t="shared" si="7"/>
        <v>154510707</v>
      </c>
      <c r="O16" s="122">
        <f t="shared" si="8"/>
        <v>0</v>
      </c>
      <c r="P16" s="122">
        <f t="shared" ref="P16" si="15">P17+P18</f>
        <v>0</v>
      </c>
      <c r="Q16" s="122">
        <f>+'2a. Önkormányzat bevételek'!Q16</f>
        <v>0</v>
      </c>
      <c r="R16" s="122">
        <f t="shared" si="9"/>
        <v>0</v>
      </c>
      <c r="S16" s="122">
        <v>0</v>
      </c>
      <c r="T16" s="134">
        <f t="shared" ref="T16" si="16">T17+T18</f>
        <v>0</v>
      </c>
      <c r="U16" s="122">
        <f t="shared" si="10"/>
        <v>154510707</v>
      </c>
      <c r="V16" s="122">
        <f t="shared" si="11"/>
        <v>154510707</v>
      </c>
      <c r="W16" s="122">
        <f t="shared" si="12"/>
        <v>0</v>
      </c>
      <c r="X16" s="122">
        <f t="shared" ref="X16" si="17">X17+X18</f>
        <v>0</v>
      </c>
    </row>
    <row r="17" spans="1:24" ht="17.100000000000001" hidden="1" customHeight="1" x14ac:dyDescent="0.3">
      <c r="A17" s="23" t="s">
        <v>41</v>
      </c>
      <c r="B17" s="23" t="s">
        <v>42</v>
      </c>
      <c r="C17" s="24"/>
      <c r="D17" s="24"/>
      <c r="E17" s="24"/>
      <c r="F17" s="24"/>
      <c r="G17" s="25"/>
      <c r="H17" s="25"/>
      <c r="I17" s="24"/>
      <c r="J17" s="24">
        <f t="shared" si="5"/>
        <v>0</v>
      </c>
      <c r="K17" s="25"/>
      <c r="L17" s="25"/>
      <c r="M17" s="24">
        <f t="shared" si="6"/>
        <v>0</v>
      </c>
      <c r="N17" s="24">
        <f t="shared" si="7"/>
        <v>0</v>
      </c>
      <c r="O17" s="24">
        <f t="shared" si="8"/>
        <v>0</v>
      </c>
      <c r="P17" s="24"/>
      <c r="Q17" s="24"/>
      <c r="R17" s="24">
        <f t="shared" si="9"/>
        <v>0</v>
      </c>
      <c r="S17" s="25"/>
      <c r="T17" s="25"/>
      <c r="U17" s="24">
        <f t="shared" si="10"/>
        <v>0</v>
      </c>
      <c r="V17" s="24">
        <f t="shared" si="11"/>
        <v>0</v>
      </c>
      <c r="W17" s="24">
        <f t="shared" si="12"/>
        <v>0</v>
      </c>
      <c r="X17" s="24"/>
    </row>
    <row r="18" spans="1:24" ht="17.100000000000001" hidden="1" customHeight="1" x14ac:dyDescent="0.3">
      <c r="A18" s="23" t="s">
        <v>43</v>
      </c>
      <c r="B18" s="23" t="s">
        <v>44</v>
      </c>
      <c r="C18" s="24"/>
      <c r="D18" s="24"/>
      <c r="E18" s="24"/>
      <c r="F18" s="24"/>
      <c r="G18" s="25"/>
      <c r="H18" s="25"/>
      <c r="I18" s="24"/>
      <c r="J18" s="24">
        <f t="shared" si="5"/>
        <v>0</v>
      </c>
      <c r="K18" s="25"/>
      <c r="L18" s="25"/>
      <c r="M18" s="24">
        <f t="shared" si="6"/>
        <v>0</v>
      </c>
      <c r="N18" s="24">
        <f t="shared" si="7"/>
        <v>0</v>
      </c>
      <c r="O18" s="24">
        <f t="shared" si="8"/>
        <v>0</v>
      </c>
      <c r="P18" s="24"/>
      <c r="Q18" s="24"/>
      <c r="R18" s="24">
        <f t="shared" si="9"/>
        <v>0</v>
      </c>
      <c r="S18" s="25"/>
      <c r="T18" s="25"/>
      <c r="U18" s="24">
        <f t="shared" si="10"/>
        <v>0</v>
      </c>
      <c r="V18" s="24">
        <f t="shared" si="11"/>
        <v>0</v>
      </c>
      <c r="W18" s="24">
        <f t="shared" si="12"/>
        <v>0</v>
      </c>
      <c r="X18" s="24"/>
    </row>
    <row r="19" spans="1:24" ht="17.100000000000001" customHeight="1" x14ac:dyDescent="0.3">
      <c r="A19" s="26" t="s">
        <v>45</v>
      </c>
      <c r="B19" s="26" t="s">
        <v>46</v>
      </c>
      <c r="C19" s="122">
        <f>+'2a. Önkormányzat bevételek'!C19+'3a. Hivatal'!C10+'4. Művelődési Ház'!C10</f>
        <v>136050000</v>
      </c>
      <c r="D19" s="122">
        <f>+'2a. Önkormányzat bevételek'!D19+'3a. Hivatal'!D10+'4. Művelődési Ház'!D10</f>
        <v>149783533</v>
      </c>
      <c r="E19" s="122">
        <f>+'2a. Önkormányzat bevételek'!E19+'3a. Hivatal'!E10+'4. Művelődési Ház'!E10</f>
        <v>134050000</v>
      </c>
      <c r="F19" s="122">
        <f>+E19-G19-1000000</f>
        <v>93814450</v>
      </c>
      <c r="G19" s="122">
        <f>+'2a. Önkormányzat bevételek'!G19+'3a. Hivatal'!G10+'4. Művelődési Ház'!G10</f>
        <v>39235550</v>
      </c>
      <c r="H19" s="122">
        <f t="shared" ref="H19" si="18">H21+H25+H20</f>
        <v>0</v>
      </c>
      <c r="I19" s="122">
        <f>+'2a. Önkormányzat bevételek'!I19+'3a. Hivatal'!I10+'4. Művelődési Ház'!I10</f>
        <v>0</v>
      </c>
      <c r="J19" s="122">
        <v>-1000000</v>
      </c>
      <c r="K19" s="122">
        <f>1000000</f>
        <v>1000000</v>
      </c>
      <c r="L19" s="122">
        <f t="shared" ref="L19" si="19">L21+L25+L20</f>
        <v>0</v>
      </c>
      <c r="M19" s="122">
        <f t="shared" si="6"/>
        <v>134050000</v>
      </c>
      <c r="N19" s="122">
        <f>F19+J19</f>
        <v>92814450</v>
      </c>
      <c r="O19" s="122">
        <f>G19+K19</f>
        <v>40235550</v>
      </c>
      <c r="P19" s="122">
        <f t="shared" ref="P19" si="20">P21+P25+P20</f>
        <v>0</v>
      </c>
      <c r="Q19" s="122">
        <f>+'2a. Önkormányzat bevételek'!Q19+'3a. Hivatal'!Q10+'4. Művelődési Ház'!Q10</f>
        <v>14000000</v>
      </c>
      <c r="R19" s="122">
        <f>Q19+27557500</f>
        <v>41557500</v>
      </c>
      <c r="S19" s="122">
        <v>-27557500</v>
      </c>
      <c r="T19" s="122">
        <f t="shared" ref="T19" si="21">T21+T25+T20</f>
        <v>0</v>
      </c>
      <c r="U19" s="122">
        <f t="shared" si="10"/>
        <v>148050000</v>
      </c>
      <c r="V19" s="122">
        <f t="shared" si="11"/>
        <v>134371950</v>
      </c>
      <c r="W19" s="122">
        <f t="shared" si="12"/>
        <v>12678050</v>
      </c>
      <c r="X19" s="122">
        <f t="shared" ref="X19" si="22">X21+X25+X20</f>
        <v>0</v>
      </c>
    </row>
    <row r="20" spans="1:24" ht="17.100000000000001" hidden="1" customHeight="1" x14ac:dyDescent="0.3">
      <c r="A20" s="23" t="s">
        <v>5</v>
      </c>
      <c r="B20" s="26" t="s">
        <v>6</v>
      </c>
      <c r="C20" s="122"/>
      <c r="D20" s="122"/>
      <c r="E20" s="122"/>
      <c r="F20" s="122">
        <f t="shared" ref="F20:F35" si="23">+E20-G20</f>
        <v>0</v>
      </c>
      <c r="G20" s="134"/>
      <c r="H20" s="134"/>
      <c r="I20" s="122"/>
      <c r="J20" s="122">
        <f t="shared" si="5"/>
        <v>0</v>
      </c>
      <c r="K20" s="122">
        <v>0</v>
      </c>
      <c r="L20" s="134"/>
      <c r="M20" s="122">
        <f t="shared" si="6"/>
        <v>0</v>
      </c>
      <c r="N20" s="122">
        <f t="shared" si="7"/>
        <v>0</v>
      </c>
      <c r="O20" s="122">
        <f t="shared" si="8"/>
        <v>0</v>
      </c>
      <c r="P20" s="122"/>
      <c r="Q20" s="122"/>
      <c r="R20" s="122">
        <f t="shared" si="9"/>
        <v>0</v>
      </c>
      <c r="S20" s="122">
        <v>0</v>
      </c>
      <c r="T20" s="134"/>
      <c r="U20" s="122">
        <f t="shared" si="10"/>
        <v>0</v>
      </c>
      <c r="V20" s="122">
        <f t="shared" si="11"/>
        <v>0</v>
      </c>
      <c r="W20" s="122">
        <f t="shared" si="12"/>
        <v>0</v>
      </c>
      <c r="X20" s="122"/>
    </row>
    <row r="21" spans="1:24" ht="17.100000000000001" hidden="1" customHeight="1" x14ac:dyDescent="0.3">
      <c r="A21" s="23" t="s">
        <v>47</v>
      </c>
      <c r="B21" s="23" t="s">
        <v>7</v>
      </c>
      <c r="C21" s="123"/>
      <c r="D21" s="123"/>
      <c r="E21" s="123"/>
      <c r="F21" s="122">
        <f t="shared" si="23"/>
        <v>0</v>
      </c>
      <c r="G21" s="135">
        <v>0</v>
      </c>
      <c r="H21" s="135">
        <v>0</v>
      </c>
      <c r="I21" s="123"/>
      <c r="J21" s="123">
        <f t="shared" si="5"/>
        <v>0</v>
      </c>
      <c r="K21" s="122">
        <v>0</v>
      </c>
      <c r="L21" s="135">
        <v>0</v>
      </c>
      <c r="M21" s="123">
        <f t="shared" si="6"/>
        <v>0</v>
      </c>
      <c r="N21" s="123">
        <f t="shared" si="7"/>
        <v>0</v>
      </c>
      <c r="O21" s="123">
        <f t="shared" si="8"/>
        <v>0</v>
      </c>
      <c r="P21" s="123">
        <v>0</v>
      </c>
      <c r="Q21" s="123"/>
      <c r="R21" s="123">
        <f t="shared" si="9"/>
        <v>0</v>
      </c>
      <c r="S21" s="122">
        <v>0</v>
      </c>
      <c r="T21" s="135">
        <v>0</v>
      </c>
      <c r="U21" s="123">
        <f t="shared" si="10"/>
        <v>0</v>
      </c>
      <c r="V21" s="123">
        <f t="shared" si="11"/>
        <v>0</v>
      </c>
      <c r="W21" s="123">
        <f t="shared" si="12"/>
        <v>0</v>
      </c>
      <c r="X21" s="123">
        <v>0</v>
      </c>
    </row>
    <row r="22" spans="1:24" s="1" customFormat="1" ht="17.100000000000001" hidden="1" customHeight="1" x14ac:dyDescent="0.3">
      <c r="A22" s="23" t="s">
        <v>48</v>
      </c>
      <c r="B22" s="23" t="s">
        <v>49</v>
      </c>
      <c r="C22" s="24"/>
      <c r="D22" s="24"/>
      <c r="E22" s="24"/>
      <c r="F22" s="122">
        <f t="shared" si="23"/>
        <v>0</v>
      </c>
      <c r="G22" s="25"/>
      <c r="H22" s="25"/>
      <c r="I22" s="24"/>
      <c r="J22" s="24">
        <f t="shared" si="5"/>
        <v>0</v>
      </c>
      <c r="K22" s="122">
        <v>0</v>
      </c>
      <c r="L22" s="25"/>
      <c r="M22" s="24">
        <f t="shared" si="6"/>
        <v>0</v>
      </c>
      <c r="N22" s="24">
        <f t="shared" si="7"/>
        <v>0</v>
      </c>
      <c r="O22" s="24">
        <f t="shared" si="8"/>
        <v>0</v>
      </c>
      <c r="P22" s="24"/>
      <c r="Q22" s="24"/>
      <c r="R22" s="24">
        <f t="shared" si="9"/>
        <v>0</v>
      </c>
      <c r="S22" s="122">
        <v>0</v>
      </c>
      <c r="T22" s="25"/>
      <c r="U22" s="24">
        <f t="shared" si="10"/>
        <v>0</v>
      </c>
      <c r="V22" s="24">
        <f t="shared" si="11"/>
        <v>0</v>
      </c>
      <c r="W22" s="24">
        <f t="shared" si="12"/>
        <v>0</v>
      </c>
      <c r="X22" s="24"/>
    </row>
    <row r="23" spans="1:24" s="1" customFormat="1" ht="17.100000000000001" hidden="1" customHeight="1" x14ac:dyDescent="0.3">
      <c r="A23" s="23" t="s">
        <v>50</v>
      </c>
      <c r="B23" s="23" t="s">
        <v>51</v>
      </c>
      <c r="C23" s="24"/>
      <c r="D23" s="24"/>
      <c r="E23" s="24"/>
      <c r="F23" s="122">
        <f t="shared" si="23"/>
        <v>0</v>
      </c>
      <c r="G23" s="25"/>
      <c r="H23" s="25"/>
      <c r="I23" s="24"/>
      <c r="J23" s="24">
        <f t="shared" si="5"/>
        <v>0</v>
      </c>
      <c r="K23" s="122">
        <v>0</v>
      </c>
      <c r="L23" s="25"/>
      <c r="M23" s="24">
        <f t="shared" si="6"/>
        <v>0</v>
      </c>
      <c r="N23" s="24">
        <f t="shared" si="7"/>
        <v>0</v>
      </c>
      <c r="O23" s="24">
        <f t="shared" si="8"/>
        <v>0</v>
      </c>
      <c r="P23" s="24"/>
      <c r="Q23" s="24"/>
      <c r="R23" s="24">
        <f t="shared" si="9"/>
        <v>0</v>
      </c>
      <c r="S23" s="122">
        <v>0</v>
      </c>
      <c r="T23" s="25"/>
      <c r="U23" s="24">
        <f t="shared" si="10"/>
        <v>0</v>
      </c>
      <c r="V23" s="24">
        <f t="shared" si="11"/>
        <v>0</v>
      </c>
      <c r="W23" s="24">
        <f t="shared" si="12"/>
        <v>0</v>
      </c>
      <c r="X23" s="24"/>
    </row>
    <row r="24" spans="1:24" s="1" customFormat="1" ht="17.100000000000001" hidden="1" customHeight="1" x14ac:dyDescent="0.3">
      <c r="A24" s="23" t="s">
        <v>52</v>
      </c>
      <c r="B24" s="23" t="s">
        <v>8</v>
      </c>
      <c r="C24" s="24"/>
      <c r="D24" s="24"/>
      <c r="E24" s="24"/>
      <c r="F24" s="122">
        <f t="shared" si="23"/>
        <v>0</v>
      </c>
      <c r="G24" s="25"/>
      <c r="H24" s="25"/>
      <c r="I24" s="24"/>
      <c r="J24" s="24">
        <f t="shared" si="5"/>
        <v>0</v>
      </c>
      <c r="K24" s="122">
        <v>0</v>
      </c>
      <c r="L24" s="25"/>
      <c r="M24" s="24">
        <f t="shared" si="6"/>
        <v>0</v>
      </c>
      <c r="N24" s="24">
        <f t="shared" si="7"/>
        <v>0</v>
      </c>
      <c r="O24" s="24">
        <f t="shared" si="8"/>
        <v>0</v>
      </c>
      <c r="P24" s="24"/>
      <c r="Q24" s="24"/>
      <c r="R24" s="24">
        <f t="shared" si="9"/>
        <v>0</v>
      </c>
      <c r="S24" s="122">
        <v>0</v>
      </c>
      <c r="T24" s="25"/>
      <c r="U24" s="24">
        <f t="shared" si="10"/>
        <v>0</v>
      </c>
      <c r="V24" s="24">
        <f t="shared" si="11"/>
        <v>0</v>
      </c>
      <c r="W24" s="24">
        <f t="shared" si="12"/>
        <v>0</v>
      </c>
      <c r="X24" s="24"/>
    </row>
    <row r="25" spans="1:24" ht="17.100000000000001" hidden="1" customHeight="1" x14ac:dyDescent="0.3">
      <c r="A25" s="23" t="s">
        <v>53</v>
      </c>
      <c r="B25" s="23" t="s">
        <v>9</v>
      </c>
      <c r="C25" s="24"/>
      <c r="D25" s="24"/>
      <c r="E25" s="24"/>
      <c r="F25" s="122">
        <f t="shared" si="23"/>
        <v>0</v>
      </c>
      <c r="G25" s="25"/>
      <c r="H25" s="25"/>
      <c r="I25" s="24"/>
      <c r="J25" s="24">
        <f t="shared" si="5"/>
        <v>0</v>
      </c>
      <c r="K25" s="122">
        <v>0</v>
      </c>
      <c r="L25" s="25"/>
      <c r="M25" s="24">
        <f t="shared" si="6"/>
        <v>0</v>
      </c>
      <c r="N25" s="24">
        <f t="shared" si="7"/>
        <v>0</v>
      </c>
      <c r="O25" s="24">
        <f t="shared" si="8"/>
        <v>0</v>
      </c>
      <c r="P25" s="24"/>
      <c r="Q25" s="24"/>
      <c r="R25" s="24">
        <f t="shared" si="9"/>
        <v>0</v>
      </c>
      <c r="S25" s="122">
        <v>0</v>
      </c>
      <c r="T25" s="25"/>
      <c r="U25" s="24">
        <f t="shared" si="10"/>
        <v>0</v>
      </c>
      <c r="V25" s="24">
        <f t="shared" si="11"/>
        <v>0</v>
      </c>
      <c r="W25" s="24">
        <f t="shared" si="12"/>
        <v>0</v>
      </c>
      <c r="X25" s="24"/>
    </row>
    <row r="26" spans="1:24" ht="17.100000000000001" customHeight="1" x14ac:dyDescent="0.3">
      <c r="A26" s="26" t="s">
        <v>55</v>
      </c>
      <c r="B26" s="26" t="s">
        <v>56</v>
      </c>
      <c r="C26" s="122">
        <f>+'2a. Önkormányzat bevételek'!C26+'3a. Hivatal'!C12+'4. Művelődési Ház'!C12</f>
        <v>171094330</v>
      </c>
      <c r="D26" s="122">
        <f>+'2a. Önkormányzat bevételek'!D26+'3a. Hivatal'!D12+'4. Művelődési Ház'!D12</f>
        <v>174408489</v>
      </c>
      <c r="E26" s="122">
        <f>+'2a. Önkormányzat bevételek'!E26+'3a. Hivatal'!E12+'4. Művelődési Ház'!E12</f>
        <v>142728758</v>
      </c>
      <c r="F26" s="122">
        <f t="shared" si="23"/>
        <v>23145558</v>
      </c>
      <c r="G26" s="122">
        <f>+'2a. Önkormányzat bevételek'!G26+'3a. Hivatal'!G12+'4. Művelődési Ház'!G12</f>
        <v>119583200</v>
      </c>
      <c r="H26" s="134">
        <f t="shared" ref="H26" si="24">SUM(H27:H35)</f>
        <v>0</v>
      </c>
      <c r="I26" s="122">
        <f>+'2a. Önkormányzat bevételek'!I26+'3a. Hivatal'!I12+'4. Művelődési Ház'!I12</f>
        <v>-73</v>
      </c>
      <c r="J26" s="122">
        <f>I26</f>
        <v>-73</v>
      </c>
      <c r="K26" s="122">
        <v>0</v>
      </c>
      <c r="L26" s="134">
        <f t="shared" ref="L26" si="25">SUM(L27:L35)</f>
        <v>0</v>
      </c>
      <c r="M26" s="122">
        <f t="shared" si="6"/>
        <v>142728685</v>
      </c>
      <c r="N26" s="122">
        <f t="shared" si="7"/>
        <v>23145485</v>
      </c>
      <c r="O26" s="122">
        <f t="shared" si="8"/>
        <v>119583200</v>
      </c>
      <c r="P26" s="122">
        <f t="shared" ref="P26" si="26">SUM(P27:P35)</f>
        <v>0</v>
      </c>
      <c r="Q26" s="122">
        <f>+'2a. Önkormányzat bevételek'!Q26+'3a. Hivatal'!N12+'4. Művelődési Ház'!N12</f>
        <v>62054000</v>
      </c>
      <c r="R26" s="122">
        <f>Q26-51308000-1656000</f>
        <v>9090000</v>
      </c>
      <c r="S26" s="122">
        <f>51308000+1656000</f>
        <v>52964000</v>
      </c>
      <c r="T26" s="134">
        <f t="shared" ref="T26" si="27">SUM(T27:T35)</f>
        <v>0</v>
      </c>
      <c r="U26" s="122">
        <f t="shared" si="10"/>
        <v>204782685</v>
      </c>
      <c r="V26" s="122">
        <f t="shared" si="11"/>
        <v>32235485</v>
      </c>
      <c r="W26" s="122">
        <f t="shared" si="12"/>
        <v>172547200</v>
      </c>
      <c r="X26" s="122">
        <f t="shared" ref="X26" si="28">SUM(X27:X35)</f>
        <v>0</v>
      </c>
    </row>
    <row r="27" spans="1:24" ht="17.100000000000001" hidden="1" customHeight="1" x14ac:dyDescent="0.3">
      <c r="A27" s="23" t="s">
        <v>57</v>
      </c>
      <c r="B27" s="23" t="s">
        <v>58</v>
      </c>
      <c r="C27" s="146"/>
      <c r="D27" s="24"/>
      <c r="E27" s="24"/>
      <c r="F27" s="122">
        <f t="shared" si="23"/>
        <v>0</v>
      </c>
      <c r="G27" s="25"/>
      <c r="H27" s="25"/>
      <c r="I27" s="24"/>
      <c r="J27" s="24">
        <f t="shared" si="5"/>
        <v>0</v>
      </c>
      <c r="K27" s="122">
        <v>0</v>
      </c>
      <c r="L27" s="25"/>
      <c r="M27" s="24">
        <f t="shared" si="6"/>
        <v>0</v>
      </c>
      <c r="N27" s="24">
        <f t="shared" si="7"/>
        <v>0</v>
      </c>
      <c r="O27" s="24">
        <f t="shared" si="8"/>
        <v>0</v>
      </c>
      <c r="P27" s="24"/>
      <c r="Q27" s="24"/>
      <c r="R27" s="24">
        <f t="shared" ref="R27:R48" si="29">Q27</f>
        <v>0</v>
      </c>
      <c r="S27" s="122">
        <v>0</v>
      </c>
      <c r="T27" s="25"/>
      <c r="U27" s="24">
        <f t="shared" si="10"/>
        <v>0</v>
      </c>
      <c r="V27" s="24">
        <f t="shared" si="11"/>
        <v>0</v>
      </c>
      <c r="W27" s="24">
        <f t="shared" si="12"/>
        <v>0</v>
      </c>
      <c r="X27" s="24"/>
    </row>
    <row r="28" spans="1:24" ht="17.100000000000001" hidden="1" customHeight="1" x14ac:dyDescent="0.3">
      <c r="A28" s="23" t="s">
        <v>59</v>
      </c>
      <c r="B28" s="23" t="s">
        <v>60</v>
      </c>
      <c r="C28" s="146"/>
      <c r="D28" s="24"/>
      <c r="E28" s="24"/>
      <c r="F28" s="122">
        <f t="shared" si="23"/>
        <v>0</v>
      </c>
      <c r="G28" s="25"/>
      <c r="H28" s="25"/>
      <c r="I28" s="24"/>
      <c r="J28" s="24">
        <f t="shared" si="5"/>
        <v>0</v>
      </c>
      <c r="K28" s="122">
        <v>0</v>
      </c>
      <c r="L28" s="25"/>
      <c r="M28" s="24">
        <f t="shared" si="6"/>
        <v>0</v>
      </c>
      <c r="N28" s="24">
        <f t="shared" si="7"/>
        <v>0</v>
      </c>
      <c r="O28" s="24">
        <f t="shared" si="8"/>
        <v>0</v>
      </c>
      <c r="P28" s="24"/>
      <c r="Q28" s="24"/>
      <c r="R28" s="24">
        <f t="shared" si="29"/>
        <v>0</v>
      </c>
      <c r="S28" s="122">
        <v>0</v>
      </c>
      <c r="T28" s="25"/>
      <c r="U28" s="24">
        <f t="shared" si="10"/>
        <v>0</v>
      </c>
      <c r="V28" s="24">
        <f t="shared" si="11"/>
        <v>0</v>
      </c>
      <c r="W28" s="24">
        <f t="shared" si="12"/>
        <v>0</v>
      </c>
      <c r="X28" s="24"/>
    </row>
    <row r="29" spans="1:24" ht="17.100000000000001" hidden="1" customHeight="1" x14ac:dyDescent="0.3">
      <c r="A29" s="23" t="s">
        <v>61</v>
      </c>
      <c r="B29" s="23" t="s">
        <v>62</v>
      </c>
      <c r="C29" s="24"/>
      <c r="D29" s="24"/>
      <c r="E29" s="24"/>
      <c r="F29" s="122">
        <f t="shared" si="23"/>
        <v>0</v>
      </c>
      <c r="G29" s="25"/>
      <c r="H29" s="25"/>
      <c r="I29" s="24"/>
      <c r="J29" s="24">
        <f t="shared" si="5"/>
        <v>0</v>
      </c>
      <c r="K29" s="122">
        <v>0</v>
      </c>
      <c r="L29" s="25"/>
      <c r="M29" s="24">
        <f t="shared" si="6"/>
        <v>0</v>
      </c>
      <c r="N29" s="24">
        <f t="shared" si="7"/>
        <v>0</v>
      </c>
      <c r="O29" s="24">
        <f t="shared" si="8"/>
        <v>0</v>
      </c>
      <c r="P29" s="24"/>
      <c r="Q29" s="24"/>
      <c r="R29" s="24">
        <f t="shared" si="29"/>
        <v>0</v>
      </c>
      <c r="S29" s="122">
        <v>0</v>
      </c>
      <c r="T29" s="25"/>
      <c r="U29" s="24">
        <f t="shared" si="10"/>
        <v>0</v>
      </c>
      <c r="V29" s="24">
        <f t="shared" si="11"/>
        <v>0</v>
      </c>
      <c r="W29" s="24">
        <f t="shared" si="12"/>
        <v>0</v>
      </c>
      <c r="X29" s="24"/>
    </row>
    <row r="30" spans="1:24" ht="17.100000000000001" hidden="1" customHeight="1" x14ac:dyDescent="0.3">
      <c r="A30" s="23" t="s">
        <v>63</v>
      </c>
      <c r="B30" s="23" t="s">
        <v>64</v>
      </c>
      <c r="C30" s="146"/>
      <c r="D30" s="24"/>
      <c r="E30" s="24"/>
      <c r="F30" s="122">
        <f t="shared" si="23"/>
        <v>0</v>
      </c>
      <c r="G30" s="25"/>
      <c r="H30" s="25"/>
      <c r="I30" s="24"/>
      <c r="J30" s="24">
        <f t="shared" si="5"/>
        <v>0</v>
      </c>
      <c r="K30" s="122">
        <v>0</v>
      </c>
      <c r="L30" s="25"/>
      <c r="M30" s="24">
        <f t="shared" si="6"/>
        <v>0</v>
      </c>
      <c r="N30" s="24">
        <f t="shared" si="7"/>
        <v>0</v>
      </c>
      <c r="O30" s="24">
        <f t="shared" si="8"/>
        <v>0</v>
      </c>
      <c r="P30" s="24"/>
      <c r="Q30" s="24"/>
      <c r="R30" s="24">
        <f t="shared" si="29"/>
        <v>0</v>
      </c>
      <c r="S30" s="122">
        <v>0</v>
      </c>
      <c r="T30" s="25"/>
      <c r="U30" s="24">
        <f t="shared" si="10"/>
        <v>0</v>
      </c>
      <c r="V30" s="24">
        <f t="shared" si="11"/>
        <v>0</v>
      </c>
      <c r="W30" s="24">
        <f t="shared" si="12"/>
        <v>0</v>
      </c>
      <c r="X30" s="24"/>
    </row>
    <row r="31" spans="1:24" ht="17.100000000000001" hidden="1" customHeight="1" x14ac:dyDescent="0.3">
      <c r="A31" s="23" t="s">
        <v>65</v>
      </c>
      <c r="B31" s="23" t="s">
        <v>66</v>
      </c>
      <c r="C31" s="146"/>
      <c r="D31" s="24"/>
      <c r="E31" s="24"/>
      <c r="F31" s="122">
        <f t="shared" si="23"/>
        <v>0</v>
      </c>
      <c r="G31" s="25"/>
      <c r="H31" s="25"/>
      <c r="I31" s="24"/>
      <c r="J31" s="24">
        <f t="shared" si="5"/>
        <v>0</v>
      </c>
      <c r="K31" s="122">
        <v>0</v>
      </c>
      <c r="L31" s="25"/>
      <c r="M31" s="24">
        <f t="shared" si="6"/>
        <v>0</v>
      </c>
      <c r="N31" s="24">
        <f t="shared" si="7"/>
        <v>0</v>
      </c>
      <c r="O31" s="24">
        <f t="shared" si="8"/>
        <v>0</v>
      </c>
      <c r="P31" s="24"/>
      <c r="Q31" s="24"/>
      <c r="R31" s="24">
        <f t="shared" si="29"/>
        <v>0</v>
      </c>
      <c r="S31" s="122">
        <v>0</v>
      </c>
      <c r="T31" s="25"/>
      <c r="U31" s="24">
        <f t="shared" si="10"/>
        <v>0</v>
      </c>
      <c r="V31" s="24">
        <f t="shared" si="11"/>
        <v>0</v>
      </c>
      <c r="W31" s="24">
        <f t="shared" si="12"/>
        <v>0</v>
      </c>
      <c r="X31" s="24"/>
    </row>
    <row r="32" spans="1:24" ht="17.100000000000001" hidden="1" customHeight="1" x14ac:dyDescent="0.3">
      <c r="A32" s="23" t="s">
        <v>10</v>
      </c>
      <c r="B32" s="23" t="s">
        <v>11</v>
      </c>
      <c r="C32" s="146"/>
      <c r="D32" s="24"/>
      <c r="E32" s="24"/>
      <c r="F32" s="122">
        <f t="shared" si="23"/>
        <v>0</v>
      </c>
      <c r="G32" s="25"/>
      <c r="H32" s="25"/>
      <c r="I32" s="24"/>
      <c r="J32" s="24">
        <f t="shared" si="5"/>
        <v>0</v>
      </c>
      <c r="K32" s="122">
        <v>0</v>
      </c>
      <c r="L32" s="25"/>
      <c r="M32" s="24">
        <f t="shared" si="6"/>
        <v>0</v>
      </c>
      <c r="N32" s="24">
        <f t="shared" si="7"/>
        <v>0</v>
      </c>
      <c r="O32" s="24">
        <f t="shared" si="8"/>
        <v>0</v>
      </c>
      <c r="P32" s="24"/>
      <c r="Q32" s="24"/>
      <c r="R32" s="24">
        <f t="shared" si="29"/>
        <v>0</v>
      </c>
      <c r="S32" s="122">
        <v>0</v>
      </c>
      <c r="T32" s="25"/>
      <c r="U32" s="24">
        <f t="shared" si="10"/>
        <v>0</v>
      </c>
      <c r="V32" s="24">
        <f t="shared" si="11"/>
        <v>0</v>
      </c>
      <c r="W32" s="24">
        <f t="shared" si="12"/>
        <v>0</v>
      </c>
      <c r="X32" s="24"/>
    </row>
    <row r="33" spans="1:24" ht="17.100000000000001" hidden="1" customHeight="1" x14ac:dyDescent="0.3">
      <c r="A33" s="23" t="s">
        <v>67</v>
      </c>
      <c r="B33" s="23" t="s">
        <v>68</v>
      </c>
      <c r="C33" s="146"/>
      <c r="D33" s="24"/>
      <c r="E33" s="24"/>
      <c r="F33" s="122">
        <f t="shared" si="23"/>
        <v>0</v>
      </c>
      <c r="G33" s="25"/>
      <c r="H33" s="25"/>
      <c r="I33" s="24"/>
      <c r="J33" s="24">
        <f t="shared" si="5"/>
        <v>0</v>
      </c>
      <c r="K33" s="122">
        <v>0</v>
      </c>
      <c r="L33" s="25"/>
      <c r="M33" s="24">
        <f t="shared" si="6"/>
        <v>0</v>
      </c>
      <c r="N33" s="24">
        <f t="shared" si="7"/>
        <v>0</v>
      </c>
      <c r="O33" s="24">
        <f t="shared" si="8"/>
        <v>0</v>
      </c>
      <c r="P33" s="24"/>
      <c r="Q33" s="24"/>
      <c r="R33" s="24">
        <f t="shared" si="29"/>
        <v>0</v>
      </c>
      <c r="S33" s="122">
        <v>0</v>
      </c>
      <c r="T33" s="25"/>
      <c r="U33" s="24">
        <f t="shared" si="10"/>
        <v>0</v>
      </c>
      <c r="V33" s="24">
        <f t="shared" si="11"/>
        <v>0</v>
      </c>
      <c r="W33" s="24">
        <f t="shared" si="12"/>
        <v>0</v>
      </c>
      <c r="X33" s="24"/>
    </row>
    <row r="34" spans="1:24" ht="17.100000000000001" hidden="1" customHeight="1" x14ac:dyDescent="0.3">
      <c r="A34" s="23" t="s">
        <v>69</v>
      </c>
      <c r="B34" s="23" t="s">
        <v>70</v>
      </c>
      <c r="C34" s="24"/>
      <c r="D34" s="24"/>
      <c r="E34" s="24"/>
      <c r="F34" s="122">
        <f t="shared" si="23"/>
        <v>0</v>
      </c>
      <c r="G34" s="25"/>
      <c r="H34" s="25"/>
      <c r="I34" s="24"/>
      <c r="J34" s="24">
        <f t="shared" si="5"/>
        <v>0</v>
      </c>
      <c r="K34" s="122">
        <v>0</v>
      </c>
      <c r="L34" s="25"/>
      <c r="M34" s="24">
        <f t="shared" si="6"/>
        <v>0</v>
      </c>
      <c r="N34" s="24">
        <f t="shared" si="7"/>
        <v>0</v>
      </c>
      <c r="O34" s="24">
        <f t="shared" si="8"/>
        <v>0</v>
      </c>
      <c r="P34" s="24"/>
      <c r="Q34" s="24"/>
      <c r="R34" s="24">
        <f t="shared" si="29"/>
        <v>0</v>
      </c>
      <c r="S34" s="122">
        <v>0</v>
      </c>
      <c r="T34" s="25"/>
      <c r="U34" s="24">
        <f t="shared" si="10"/>
        <v>0</v>
      </c>
      <c r="V34" s="24">
        <f t="shared" si="11"/>
        <v>0</v>
      </c>
      <c r="W34" s="24">
        <f t="shared" si="12"/>
        <v>0</v>
      </c>
      <c r="X34" s="24"/>
    </row>
    <row r="35" spans="1:24" ht="17.100000000000001" hidden="1" customHeight="1" x14ac:dyDescent="0.3">
      <c r="A35" s="23" t="s">
        <v>71</v>
      </c>
      <c r="B35" s="23" t="s">
        <v>72</v>
      </c>
      <c r="C35" s="146"/>
      <c r="D35" s="24"/>
      <c r="E35" s="24"/>
      <c r="F35" s="122">
        <f t="shared" si="23"/>
        <v>0</v>
      </c>
      <c r="G35" s="25"/>
      <c r="H35" s="25"/>
      <c r="I35" s="24"/>
      <c r="J35" s="24">
        <f t="shared" si="5"/>
        <v>0</v>
      </c>
      <c r="K35" s="122">
        <v>0</v>
      </c>
      <c r="L35" s="25"/>
      <c r="M35" s="24">
        <f t="shared" si="6"/>
        <v>0</v>
      </c>
      <c r="N35" s="24">
        <f t="shared" si="7"/>
        <v>0</v>
      </c>
      <c r="O35" s="24">
        <f t="shared" si="8"/>
        <v>0</v>
      </c>
      <c r="P35" s="24"/>
      <c r="Q35" s="24"/>
      <c r="R35" s="24">
        <f t="shared" si="29"/>
        <v>0</v>
      </c>
      <c r="S35" s="122">
        <v>0</v>
      </c>
      <c r="T35" s="25"/>
      <c r="U35" s="24">
        <f t="shared" si="10"/>
        <v>0</v>
      </c>
      <c r="V35" s="24">
        <f t="shared" si="11"/>
        <v>0</v>
      </c>
      <c r="W35" s="24">
        <f t="shared" si="12"/>
        <v>0</v>
      </c>
      <c r="X35" s="24"/>
    </row>
    <row r="36" spans="1:24" ht="17.100000000000001" customHeight="1" x14ac:dyDescent="0.3">
      <c r="A36" s="26" t="s">
        <v>73</v>
      </c>
      <c r="B36" s="26" t="s">
        <v>74</v>
      </c>
      <c r="C36" s="224">
        <f>+'2a. Önkormányzat bevételek'!C36</f>
        <v>3448000</v>
      </c>
      <c r="D36" s="224">
        <f>+'2a. Önkormányzat bevételek'!D36</f>
        <v>3448441</v>
      </c>
      <c r="E36" s="224">
        <f>+'2a. Önkormányzat bevételek'!E36</f>
        <v>12000000</v>
      </c>
      <c r="F36" s="224">
        <f>+'2a. Önkormányzat bevételek'!F36</f>
        <v>12000000</v>
      </c>
      <c r="G36" s="136">
        <f t="shared" ref="G36:H36" si="30">SUM(G37:G38)</f>
        <v>0</v>
      </c>
      <c r="H36" s="136">
        <f t="shared" si="30"/>
        <v>0</v>
      </c>
      <c r="I36" s="224">
        <f>+'2a. Önkormányzat bevételek'!I36</f>
        <v>0</v>
      </c>
      <c r="J36" s="224">
        <f t="shared" si="5"/>
        <v>0</v>
      </c>
      <c r="K36" s="122">
        <v>0</v>
      </c>
      <c r="L36" s="136">
        <f t="shared" ref="L36" si="31">SUM(L37:L38)</f>
        <v>0</v>
      </c>
      <c r="M36" s="224">
        <f t="shared" si="6"/>
        <v>12000000</v>
      </c>
      <c r="N36" s="224">
        <f t="shared" si="7"/>
        <v>12000000</v>
      </c>
      <c r="O36" s="224">
        <f t="shared" si="8"/>
        <v>0</v>
      </c>
      <c r="P36" s="224">
        <f t="shared" ref="P36" si="32">SUM(P37:P38)</f>
        <v>0</v>
      </c>
      <c r="Q36" s="224">
        <f>+'2a. Önkormányzat bevételek'!Q36</f>
        <v>0</v>
      </c>
      <c r="R36" s="224">
        <f t="shared" si="29"/>
        <v>0</v>
      </c>
      <c r="S36" s="122">
        <v>0</v>
      </c>
      <c r="T36" s="136">
        <f t="shared" ref="T36" si="33">SUM(T37:T38)</f>
        <v>0</v>
      </c>
      <c r="U36" s="224">
        <f t="shared" si="10"/>
        <v>12000000</v>
      </c>
      <c r="V36" s="224">
        <f t="shared" si="11"/>
        <v>12000000</v>
      </c>
      <c r="W36" s="224">
        <f t="shared" si="12"/>
        <v>0</v>
      </c>
      <c r="X36" s="224">
        <f t="shared" ref="X36" si="34">SUM(X37:X38)</f>
        <v>0</v>
      </c>
    </row>
    <row r="37" spans="1:24" ht="17.100000000000001" hidden="1" customHeight="1" x14ac:dyDescent="0.3">
      <c r="A37" s="23" t="s">
        <v>75</v>
      </c>
      <c r="B37" s="23" t="s">
        <v>76</v>
      </c>
      <c r="C37" s="24"/>
      <c r="D37" s="24"/>
      <c r="E37" s="24"/>
      <c r="F37" s="24"/>
      <c r="G37" s="25"/>
      <c r="H37" s="25"/>
      <c r="I37" s="24"/>
      <c r="J37" s="24">
        <f t="shared" si="5"/>
        <v>0</v>
      </c>
      <c r="K37" s="122">
        <v>0</v>
      </c>
      <c r="L37" s="25"/>
      <c r="M37" s="24">
        <f t="shared" si="6"/>
        <v>0</v>
      </c>
      <c r="N37" s="24">
        <f t="shared" si="7"/>
        <v>0</v>
      </c>
      <c r="O37" s="24">
        <f t="shared" si="8"/>
        <v>0</v>
      </c>
      <c r="P37" s="24"/>
      <c r="Q37" s="24"/>
      <c r="R37" s="24">
        <f t="shared" si="29"/>
        <v>0</v>
      </c>
      <c r="S37" s="122">
        <v>0</v>
      </c>
      <c r="T37" s="25"/>
      <c r="U37" s="24">
        <f t="shared" si="10"/>
        <v>0</v>
      </c>
      <c r="V37" s="24">
        <f t="shared" si="11"/>
        <v>0</v>
      </c>
      <c r="W37" s="24">
        <f t="shared" si="12"/>
        <v>0</v>
      </c>
      <c r="X37" s="24"/>
    </row>
    <row r="38" spans="1:24" ht="17.100000000000001" hidden="1" customHeight="1" x14ac:dyDescent="0.3">
      <c r="A38" s="23" t="s">
        <v>212</v>
      </c>
      <c r="B38" s="23" t="s">
        <v>432</v>
      </c>
      <c r="C38" s="24"/>
      <c r="D38" s="24"/>
      <c r="E38" s="24"/>
      <c r="F38" s="24"/>
      <c r="G38" s="25"/>
      <c r="H38" s="25"/>
      <c r="I38" s="24"/>
      <c r="J38" s="24">
        <f t="shared" si="5"/>
        <v>0</v>
      </c>
      <c r="K38" s="122">
        <v>0</v>
      </c>
      <c r="L38" s="25"/>
      <c r="M38" s="24">
        <f t="shared" si="6"/>
        <v>0</v>
      </c>
      <c r="N38" s="24">
        <f t="shared" si="7"/>
        <v>0</v>
      </c>
      <c r="O38" s="24">
        <f t="shared" si="8"/>
        <v>0</v>
      </c>
      <c r="P38" s="24"/>
      <c r="Q38" s="24"/>
      <c r="R38" s="24">
        <f t="shared" si="29"/>
        <v>0</v>
      </c>
      <c r="S38" s="122">
        <v>0</v>
      </c>
      <c r="T38" s="25"/>
      <c r="U38" s="24">
        <f t="shared" si="10"/>
        <v>0</v>
      </c>
      <c r="V38" s="24">
        <f t="shared" si="11"/>
        <v>0</v>
      </c>
      <c r="W38" s="24">
        <f t="shared" si="12"/>
        <v>0</v>
      </c>
      <c r="X38" s="24"/>
    </row>
    <row r="39" spans="1:24" ht="17.100000000000001" customHeight="1" x14ac:dyDescent="0.3">
      <c r="A39" s="26" t="s">
        <v>77</v>
      </c>
      <c r="B39" s="26" t="s">
        <v>78</v>
      </c>
      <c r="C39" s="122">
        <f>+'2a. Önkormányzat bevételek'!C39</f>
        <v>0</v>
      </c>
      <c r="D39" s="122">
        <f>+'2a. Önkormányzat bevételek'!D39</f>
        <v>0</v>
      </c>
      <c r="E39" s="122">
        <f>+'2a. Önkormányzat bevételek'!E39</f>
        <v>0</v>
      </c>
      <c r="F39" s="122">
        <f>+'2a. Önkormányzat bevételek'!F39</f>
        <v>0</v>
      </c>
      <c r="G39" s="134">
        <v>0</v>
      </c>
      <c r="H39" s="134">
        <v>0</v>
      </c>
      <c r="I39" s="122">
        <f>+'2a. Önkormányzat bevételek'!I39</f>
        <v>0</v>
      </c>
      <c r="J39" s="122">
        <f t="shared" si="5"/>
        <v>0</v>
      </c>
      <c r="K39" s="134">
        <v>0</v>
      </c>
      <c r="L39" s="134">
        <v>0</v>
      </c>
      <c r="M39" s="122">
        <f t="shared" si="6"/>
        <v>0</v>
      </c>
      <c r="N39" s="122">
        <f t="shared" si="7"/>
        <v>0</v>
      </c>
      <c r="O39" s="122">
        <f t="shared" si="8"/>
        <v>0</v>
      </c>
      <c r="P39" s="122">
        <v>0</v>
      </c>
      <c r="Q39" s="122">
        <f>+'2a. Önkormányzat bevételek'!Q39</f>
        <v>0</v>
      </c>
      <c r="R39" s="122">
        <f t="shared" si="29"/>
        <v>0</v>
      </c>
      <c r="S39" s="134">
        <v>0</v>
      </c>
      <c r="T39" s="134">
        <v>0</v>
      </c>
      <c r="U39" s="122">
        <f t="shared" si="10"/>
        <v>0</v>
      </c>
      <c r="V39" s="122">
        <f t="shared" si="11"/>
        <v>0</v>
      </c>
      <c r="W39" s="122">
        <f t="shared" si="12"/>
        <v>0</v>
      </c>
      <c r="X39" s="122">
        <v>0</v>
      </c>
    </row>
    <row r="40" spans="1:24" ht="17.100000000000001" hidden="1" customHeight="1" x14ac:dyDescent="0.3">
      <c r="A40" s="23" t="s">
        <v>79</v>
      </c>
      <c r="B40" s="23" t="s">
        <v>80</v>
      </c>
      <c r="C40" s="24"/>
      <c r="D40" s="24"/>
      <c r="E40" s="24"/>
      <c r="F40" s="24"/>
      <c r="G40" s="25"/>
      <c r="H40" s="25"/>
      <c r="I40" s="24"/>
      <c r="J40" s="24">
        <f t="shared" si="5"/>
        <v>0</v>
      </c>
      <c r="K40" s="25"/>
      <c r="L40" s="25"/>
      <c r="M40" s="24">
        <f t="shared" si="6"/>
        <v>0</v>
      </c>
      <c r="N40" s="24">
        <f t="shared" si="7"/>
        <v>0</v>
      </c>
      <c r="O40" s="24">
        <f t="shared" si="8"/>
        <v>0</v>
      </c>
      <c r="P40" s="24"/>
      <c r="Q40" s="24"/>
      <c r="R40" s="24">
        <f t="shared" si="29"/>
        <v>0</v>
      </c>
      <c r="S40" s="25"/>
      <c r="T40" s="25"/>
      <c r="U40" s="24">
        <f t="shared" si="10"/>
        <v>0</v>
      </c>
      <c r="V40" s="24">
        <f t="shared" si="11"/>
        <v>0</v>
      </c>
      <c r="W40" s="24">
        <f t="shared" si="12"/>
        <v>0</v>
      </c>
      <c r="X40" s="24"/>
    </row>
    <row r="41" spans="1:24" ht="17.100000000000001" customHeight="1" x14ac:dyDescent="0.3">
      <c r="A41" s="26" t="s">
        <v>81</v>
      </c>
      <c r="B41" s="26" t="s">
        <v>82</v>
      </c>
      <c r="C41" s="124">
        <f>+'2a. Önkormányzat bevételek'!C41</f>
        <v>0</v>
      </c>
      <c r="D41" s="124">
        <f>+'2a. Önkormányzat bevételek'!D41</f>
        <v>0</v>
      </c>
      <c r="E41" s="124">
        <f>+'2a. Önkormányzat bevételek'!E41</f>
        <v>0</v>
      </c>
      <c r="F41" s="124">
        <f>+'2a. Önkormányzat bevételek'!F41</f>
        <v>0</v>
      </c>
      <c r="G41" s="137">
        <f t="shared" ref="G41:H41" si="35">G42</f>
        <v>0</v>
      </c>
      <c r="H41" s="137">
        <f t="shared" si="35"/>
        <v>0</v>
      </c>
      <c r="I41" s="124">
        <f>+'2a. Önkormányzat bevételek'!I41</f>
        <v>0</v>
      </c>
      <c r="J41" s="124">
        <f t="shared" si="5"/>
        <v>0</v>
      </c>
      <c r="K41" s="137">
        <v>0</v>
      </c>
      <c r="L41" s="137">
        <f t="shared" ref="L41" si="36">L42</f>
        <v>0</v>
      </c>
      <c r="M41" s="124">
        <f t="shared" si="6"/>
        <v>0</v>
      </c>
      <c r="N41" s="124">
        <f t="shared" si="7"/>
        <v>0</v>
      </c>
      <c r="O41" s="124">
        <f t="shared" si="8"/>
        <v>0</v>
      </c>
      <c r="P41" s="124">
        <f t="shared" ref="P41" si="37">P42</f>
        <v>0</v>
      </c>
      <c r="Q41" s="124">
        <f>+'2a. Önkormányzat bevételek'!Q41</f>
        <v>1023237</v>
      </c>
      <c r="R41" s="124">
        <f t="shared" si="29"/>
        <v>1023237</v>
      </c>
      <c r="S41" s="137">
        <v>0</v>
      </c>
      <c r="T41" s="137">
        <f t="shared" ref="T41" si="38">T42</f>
        <v>0</v>
      </c>
      <c r="U41" s="124">
        <f t="shared" si="10"/>
        <v>1023237</v>
      </c>
      <c r="V41" s="124">
        <f t="shared" si="11"/>
        <v>1023237</v>
      </c>
      <c r="W41" s="124">
        <f t="shared" si="12"/>
        <v>0</v>
      </c>
      <c r="X41" s="124">
        <f t="shared" ref="X41" si="39">X42</f>
        <v>0</v>
      </c>
    </row>
    <row r="42" spans="1:24" ht="17.100000000000001" hidden="1" customHeight="1" x14ac:dyDescent="0.3">
      <c r="A42" s="23" t="s">
        <v>83</v>
      </c>
      <c r="B42" s="23" t="s">
        <v>84</v>
      </c>
      <c r="C42" s="123"/>
      <c r="D42" s="123"/>
      <c r="E42" s="123"/>
      <c r="F42" s="123"/>
      <c r="G42" s="135"/>
      <c r="H42" s="135"/>
      <c r="I42" s="123"/>
      <c r="J42" s="123">
        <f t="shared" si="5"/>
        <v>0</v>
      </c>
      <c r="K42" s="135"/>
      <c r="L42" s="135"/>
      <c r="M42" s="123">
        <f t="shared" si="6"/>
        <v>0</v>
      </c>
      <c r="N42" s="123">
        <f t="shared" si="7"/>
        <v>0</v>
      </c>
      <c r="O42" s="123">
        <f t="shared" si="8"/>
        <v>0</v>
      </c>
      <c r="P42" s="123"/>
      <c r="Q42" s="123"/>
      <c r="R42" s="123">
        <f t="shared" si="29"/>
        <v>0</v>
      </c>
      <c r="S42" s="135"/>
      <c r="T42" s="135"/>
      <c r="U42" s="123">
        <f t="shared" si="10"/>
        <v>0</v>
      </c>
      <c r="V42" s="123">
        <f t="shared" si="11"/>
        <v>0</v>
      </c>
      <c r="W42" s="123">
        <f t="shared" si="12"/>
        <v>0</v>
      </c>
      <c r="X42" s="123"/>
    </row>
    <row r="43" spans="1:24" ht="17.100000000000001" hidden="1" customHeight="1" x14ac:dyDescent="0.3">
      <c r="A43" s="26" t="s">
        <v>85</v>
      </c>
      <c r="B43" s="26" t="s">
        <v>86</v>
      </c>
      <c r="C43" s="122"/>
      <c r="D43" s="122"/>
      <c r="E43" s="122"/>
      <c r="F43" s="122"/>
      <c r="G43" s="134">
        <f t="shared" ref="G43:H43" si="40">G8+G16+G19+G26+G36+G39+G41</f>
        <v>158818750</v>
      </c>
      <c r="H43" s="134">
        <f t="shared" si="40"/>
        <v>0</v>
      </c>
      <c r="I43" s="122"/>
      <c r="J43" s="122">
        <f t="shared" si="5"/>
        <v>0</v>
      </c>
      <c r="K43" s="134">
        <f t="shared" ref="K43:L43" si="41">K8+K16+K19+K26+K36+K39+K41</f>
        <v>1000000</v>
      </c>
      <c r="L43" s="134">
        <f t="shared" si="41"/>
        <v>0</v>
      </c>
      <c r="M43" s="122">
        <f t="shared" si="6"/>
        <v>0</v>
      </c>
      <c r="N43" s="122">
        <f t="shared" si="7"/>
        <v>0</v>
      </c>
      <c r="O43" s="122">
        <f t="shared" si="8"/>
        <v>159818750</v>
      </c>
      <c r="P43" s="122">
        <f t="shared" ref="P43" si="42">P8+P16+P19+P26+P36+P39+P41</f>
        <v>0</v>
      </c>
      <c r="Q43" s="122"/>
      <c r="R43" s="122">
        <f t="shared" si="29"/>
        <v>0</v>
      </c>
      <c r="S43" s="134">
        <f t="shared" ref="S43:T43" si="43">S8+S16+S19+S26+S36+S39+S41</f>
        <v>25406500</v>
      </c>
      <c r="T43" s="134">
        <f t="shared" si="43"/>
        <v>0</v>
      </c>
      <c r="U43" s="122">
        <f t="shared" si="10"/>
        <v>0</v>
      </c>
      <c r="V43" s="122">
        <f t="shared" si="11"/>
        <v>0</v>
      </c>
      <c r="W43" s="122">
        <f t="shared" si="12"/>
        <v>185225250</v>
      </c>
      <c r="X43" s="122">
        <f t="shared" ref="X43" si="44">X8+X16+X19+X26+X36+X39+X41</f>
        <v>0</v>
      </c>
    </row>
    <row r="44" spans="1:24" ht="17.100000000000001" customHeight="1" x14ac:dyDescent="0.3">
      <c r="A44" s="26" t="s">
        <v>87</v>
      </c>
      <c r="B44" s="26" t="s">
        <v>88</v>
      </c>
      <c r="C44" s="122">
        <f>+C47+C48</f>
        <v>641822422</v>
      </c>
      <c r="D44" s="122">
        <f t="shared" ref="D44:F44" si="45">+D47+D48</f>
        <v>650758134</v>
      </c>
      <c r="E44" s="122">
        <f t="shared" si="45"/>
        <v>560000000</v>
      </c>
      <c r="F44" s="122">
        <f t="shared" si="45"/>
        <v>560000000</v>
      </c>
      <c r="G44" s="134">
        <f t="shared" ref="G44:H44" si="46">SUM(G45:G48)</f>
        <v>0</v>
      </c>
      <c r="H44" s="134">
        <f t="shared" si="46"/>
        <v>0</v>
      </c>
      <c r="I44" s="122">
        <f t="shared" ref="I44" si="47">+I47+I48</f>
        <v>6500360</v>
      </c>
      <c r="J44" s="122">
        <f t="shared" si="5"/>
        <v>6500360</v>
      </c>
      <c r="K44" s="134">
        <v>0</v>
      </c>
      <c r="L44" s="134">
        <f t="shared" ref="L44" si="48">SUM(L45:L48)</f>
        <v>0</v>
      </c>
      <c r="M44" s="122">
        <f t="shared" si="6"/>
        <v>566500360</v>
      </c>
      <c r="N44" s="122">
        <f t="shared" si="7"/>
        <v>566500360</v>
      </c>
      <c r="O44" s="122">
        <f t="shared" si="8"/>
        <v>0</v>
      </c>
      <c r="P44" s="122">
        <f t="shared" ref="P44" si="49">SUM(P45:P48)</f>
        <v>0</v>
      </c>
      <c r="Q44" s="122">
        <f t="shared" ref="Q44" si="50">+Q47+Q48</f>
        <v>0</v>
      </c>
      <c r="R44" s="122">
        <f t="shared" si="29"/>
        <v>0</v>
      </c>
      <c r="S44" s="134">
        <v>0</v>
      </c>
      <c r="T44" s="134">
        <f t="shared" ref="T44" si="51">SUM(T45:T48)</f>
        <v>0</v>
      </c>
      <c r="U44" s="122">
        <f t="shared" si="10"/>
        <v>566500360</v>
      </c>
      <c r="V44" s="122">
        <f t="shared" si="11"/>
        <v>566500360</v>
      </c>
      <c r="W44" s="122">
        <f t="shared" si="12"/>
        <v>0</v>
      </c>
      <c r="X44" s="122">
        <f t="shared" ref="X44" si="52">SUM(X45:X48)</f>
        <v>0</v>
      </c>
    </row>
    <row r="45" spans="1:24" ht="17.100000000000001" hidden="1" customHeight="1" x14ac:dyDescent="0.3">
      <c r="A45" s="23" t="s">
        <v>89</v>
      </c>
      <c r="B45" s="138" t="s">
        <v>90</v>
      </c>
      <c r="C45" s="24">
        <v>0</v>
      </c>
      <c r="D45" s="24">
        <v>0</v>
      </c>
      <c r="E45" s="24">
        <v>0</v>
      </c>
      <c r="F45" s="24">
        <v>0</v>
      </c>
      <c r="G45" s="25"/>
      <c r="H45" s="25"/>
      <c r="I45" s="24">
        <v>0</v>
      </c>
      <c r="J45" s="24">
        <f t="shared" si="5"/>
        <v>0</v>
      </c>
      <c r="K45" s="25"/>
      <c r="L45" s="25"/>
      <c r="M45" s="24">
        <f t="shared" si="6"/>
        <v>0</v>
      </c>
      <c r="N45" s="24">
        <f t="shared" si="7"/>
        <v>0</v>
      </c>
      <c r="O45" s="24">
        <f t="shared" si="8"/>
        <v>0</v>
      </c>
      <c r="P45" s="24"/>
      <c r="Q45" s="24">
        <v>0</v>
      </c>
      <c r="R45" s="24">
        <f t="shared" si="29"/>
        <v>0</v>
      </c>
      <c r="S45" s="25"/>
      <c r="T45" s="25"/>
      <c r="U45" s="24">
        <f t="shared" si="10"/>
        <v>0</v>
      </c>
      <c r="V45" s="24">
        <f t="shared" si="11"/>
        <v>0</v>
      </c>
      <c r="W45" s="24">
        <f t="shared" si="12"/>
        <v>0</v>
      </c>
      <c r="X45" s="24"/>
    </row>
    <row r="46" spans="1:24" ht="17.100000000000001" hidden="1" customHeight="1" x14ac:dyDescent="0.3">
      <c r="A46" s="23" t="s">
        <v>91</v>
      </c>
      <c r="B46" s="23" t="s">
        <v>92</v>
      </c>
      <c r="C46" s="24">
        <v>0</v>
      </c>
      <c r="D46" s="24">
        <v>0</v>
      </c>
      <c r="E46" s="24">
        <v>0</v>
      </c>
      <c r="F46" s="24">
        <v>0</v>
      </c>
      <c r="G46" s="25"/>
      <c r="H46" s="25"/>
      <c r="I46" s="24">
        <v>0</v>
      </c>
      <c r="J46" s="24">
        <f t="shared" si="5"/>
        <v>0</v>
      </c>
      <c r="K46" s="25"/>
      <c r="L46" s="25"/>
      <c r="M46" s="24">
        <f t="shared" si="6"/>
        <v>0</v>
      </c>
      <c r="N46" s="24">
        <f t="shared" si="7"/>
        <v>0</v>
      </c>
      <c r="O46" s="24">
        <f t="shared" si="8"/>
        <v>0</v>
      </c>
      <c r="P46" s="24"/>
      <c r="Q46" s="24">
        <v>0</v>
      </c>
      <c r="R46" s="24">
        <f t="shared" si="29"/>
        <v>0</v>
      </c>
      <c r="S46" s="25"/>
      <c r="T46" s="25"/>
      <c r="U46" s="24">
        <f t="shared" si="10"/>
        <v>0</v>
      </c>
      <c r="V46" s="24">
        <f t="shared" si="11"/>
        <v>0</v>
      </c>
      <c r="W46" s="24">
        <f t="shared" si="12"/>
        <v>0</v>
      </c>
      <c r="X46" s="24"/>
    </row>
    <row r="47" spans="1:24" ht="17.100000000000001" customHeight="1" x14ac:dyDescent="0.3">
      <c r="A47" s="23" t="s">
        <v>93</v>
      </c>
      <c r="B47" s="23" t="s">
        <v>94</v>
      </c>
      <c r="C47" s="24">
        <f>+'2a. Önkormányzat bevételek'!C47+'3a. Hivatal'!C23+'4. Művelődési Ház'!C23</f>
        <v>641363000</v>
      </c>
      <c r="D47" s="24">
        <f>+'2a. Önkormányzat bevételek'!D47+'3a. Hivatal'!D23+'4. Művelődési Ház'!D23</f>
        <v>641362274</v>
      </c>
      <c r="E47" s="24">
        <f>+'2a. Önkormányzat bevételek'!E47+'3a. Hivatal'!E23+'4. Művelődési Ház'!E23</f>
        <v>560000000</v>
      </c>
      <c r="F47" s="24">
        <f>+'2a. Önkormányzat bevételek'!F47+'3a. Hivatal'!F23+'4. Művelődési Ház'!F23</f>
        <v>560000000</v>
      </c>
      <c r="G47" s="25">
        <v>0</v>
      </c>
      <c r="H47" s="25">
        <v>0</v>
      </c>
      <c r="I47" s="24">
        <f>+'2a. Önkormányzat bevételek'!I47+'3a. Hivatal'!I23+'4. Művelődési Ház'!I23</f>
        <v>6321524</v>
      </c>
      <c r="J47" s="24">
        <f t="shared" si="5"/>
        <v>6321524</v>
      </c>
      <c r="K47" s="25">
        <v>0</v>
      </c>
      <c r="L47" s="25">
        <v>0</v>
      </c>
      <c r="M47" s="24">
        <f t="shared" si="6"/>
        <v>566321524</v>
      </c>
      <c r="N47" s="24">
        <f t="shared" si="7"/>
        <v>566321524</v>
      </c>
      <c r="O47" s="24">
        <f t="shared" si="8"/>
        <v>0</v>
      </c>
      <c r="P47" s="24">
        <v>0</v>
      </c>
      <c r="Q47" s="24">
        <f>+'2a. Önkormányzat bevételek'!Q47+'3a. Hivatal'!Q23+'4. Művelődési Ház'!Q23</f>
        <v>0</v>
      </c>
      <c r="R47" s="24">
        <f t="shared" si="29"/>
        <v>0</v>
      </c>
      <c r="S47" s="25">
        <v>0</v>
      </c>
      <c r="T47" s="25">
        <v>0</v>
      </c>
      <c r="U47" s="24">
        <f t="shared" si="10"/>
        <v>566321524</v>
      </c>
      <c r="V47" s="24">
        <f t="shared" si="11"/>
        <v>566321524</v>
      </c>
      <c r="W47" s="24">
        <f t="shared" si="12"/>
        <v>0</v>
      </c>
      <c r="X47" s="24">
        <v>0</v>
      </c>
    </row>
    <row r="48" spans="1:24" ht="17.100000000000001" customHeight="1" x14ac:dyDescent="0.3">
      <c r="A48" s="23" t="s">
        <v>95</v>
      </c>
      <c r="B48" s="23" t="s">
        <v>96</v>
      </c>
      <c r="C48" s="24">
        <v>459422</v>
      </c>
      <c r="D48" s="24">
        <v>9395860</v>
      </c>
      <c r="E48" s="24">
        <v>0</v>
      </c>
      <c r="F48" s="24">
        <v>0</v>
      </c>
      <c r="G48" s="25">
        <v>0</v>
      </c>
      <c r="H48" s="25">
        <v>0</v>
      </c>
      <c r="I48" s="24">
        <f>'2b. Önkormányzat kiadások'!I64</f>
        <v>178836</v>
      </c>
      <c r="J48" s="24">
        <f t="shared" si="5"/>
        <v>178836</v>
      </c>
      <c r="K48" s="25">
        <v>0</v>
      </c>
      <c r="L48" s="25">
        <v>0</v>
      </c>
      <c r="M48" s="24">
        <f t="shared" si="6"/>
        <v>178836</v>
      </c>
      <c r="N48" s="24">
        <f t="shared" si="7"/>
        <v>178836</v>
      </c>
      <c r="O48" s="24">
        <f t="shared" si="8"/>
        <v>0</v>
      </c>
      <c r="P48" s="24">
        <v>0</v>
      </c>
      <c r="Q48" s="24">
        <f>'2b. Önkormányzat kiadások'!Q64</f>
        <v>0</v>
      </c>
      <c r="R48" s="24">
        <f t="shared" si="29"/>
        <v>0</v>
      </c>
      <c r="S48" s="25">
        <v>0</v>
      </c>
      <c r="T48" s="25">
        <v>0</v>
      </c>
      <c r="U48" s="24">
        <f t="shared" si="10"/>
        <v>178836</v>
      </c>
      <c r="V48" s="24">
        <f t="shared" si="11"/>
        <v>178836</v>
      </c>
      <c r="W48" s="24">
        <f t="shared" si="12"/>
        <v>0</v>
      </c>
      <c r="X48" s="24">
        <v>0</v>
      </c>
    </row>
    <row r="49" spans="1:24" s="2" customFormat="1" ht="33" customHeight="1" x14ac:dyDescent="0.25">
      <c r="A49" s="306" t="s">
        <v>396</v>
      </c>
      <c r="B49" s="307"/>
      <c r="C49" s="125">
        <f>SUM(C8:C44)</f>
        <v>1510023950</v>
      </c>
      <c r="D49" s="125">
        <f t="shared" ref="D49:F49" si="53">SUM(D8:D44)</f>
        <v>1502478714</v>
      </c>
      <c r="E49" s="125">
        <f t="shared" si="53"/>
        <v>1278765011</v>
      </c>
      <c r="F49" s="125">
        <f t="shared" si="53"/>
        <v>1118946261</v>
      </c>
      <c r="G49" s="139">
        <f t="shared" ref="G49:H49" si="54">G43+G44</f>
        <v>158818750</v>
      </c>
      <c r="H49" s="139">
        <f t="shared" si="54"/>
        <v>0</v>
      </c>
      <c r="I49" s="125">
        <f t="shared" ref="I49:J49" si="55">SUM(I8:I44)</f>
        <v>65854144</v>
      </c>
      <c r="J49" s="125">
        <f t="shared" si="55"/>
        <v>64854144</v>
      </c>
      <c r="K49" s="139">
        <f t="shared" ref="K49:L49" si="56">K43+K44</f>
        <v>1000000</v>
      </c>
      <c r="L49" s="139">
        <f t="shared" si="56"/>
        <v>0</v>
      </c>
      <c r="M49" s="125">
        <f t="shared" si="6"/>
        <v>1344619155</v>
      </c>
      <c r="N49" s="125">
        <f t="shared" si="7"/>
        <v>1183800405</v>
      </c>
      <c r="O49" s="125">
        <f t="shared" si="8"/>
        <v>159818750</v>
      </c>
      <c r="P49" s="125">
        <f t="shared" ref="P49" si="57">P43+P44</f>
        <v>0</v>
      </c>
      <c r="Q49" s="125">
        <f t="shared" ref="Q49:R49" si="58">SUM(Q8:Q44)</f>
        <v>102795820</v>
      </c>
      <c r="R49" s="125">
        <f t="shared" si="58"/>
        <v>77389320</v>
      </c>
      <c r="S49" s="139">
        <f t="shared" ref="S49:T49" si="59">S43+S44</f>
        <v>25406500</v>
      </c>
      <c r="T49" s="139">
        <f t="shared" si="59"/>
        <v>0</v>
      </c>
      <c r="U49" s="125">
        <f>M49+Q49</f>
        <v>1447414975</v>
      </c>
      <c r="V49" s="125">
        <f t="shared" si="11"/>
        <v>1261189725</v>
      </c>
      <c r="W49" s="125">
        <f t="shared" si="12"/>
        <v>185225250</v>
      </c>
      <c r="X49" s="125">
        <f t="shared" ref="X49" si="60">X43+X44</f>
        <v>0</v>
      </c>
    </row>
    <row r="50" spans="1:24" ht="14.4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P50" s="126"/>
      <c r="Q50" s="126"/>
      <c r="R50" s="126"/>
      <c r="S50" s="126"/>
      <c r="T50" s="126"/>
      <c r="U50" s="126"/>
      <c r="V50" s="126"/>
      <c r="X50" s="126"/>
    </row>
    <row r="52" spans="1:24" x14ac:dyDescent="0.25">
      <c r="C52" s="105"/>
      <c r="D52" s="105"/>
      <c r="E52" s="105"/>
      <c r="I52" s="105"/>
      <c r="M52" s="105"/>
      <c r="Q52" s="105"/>
      <c r="U52" s="105"/>
    </row>
  </sheetData>
  <mergeCells count="26">
    <mergeCell ref="S5:T5"/>
    <mergeCell ref="W5:X5"/>
    <mergeCell ref="Q6:Q7"/>
    <mergeCell ref="R6:T6"/>
    <mergeCell ref="U6:U7"/>
    <mergeCell ref="V6:X6"/>
    <mergeCell ref="K5:L5"/>
    <mergeCell ref="I6:I7"/>
    <mergeCell ref="J6:L6"/>
    <mergeCell ref="O5:P5"/>
    <mergeCell ref="M6:M7"/>
    <mergeCell ref="N6:P6"/>
    <mergeCell ref="A49:B49"/>
    <mergeCell ref="A6:A7"/>
    <mergeCell ref="B6:B7"/>
    <mergeCell ref="C6:C7"/>
    <mergeCell ref="D6:D7"/>
    <mergeCell ref="E6:E7"/>
    <mergeCell ref="F6:H6"/>
    <mergeCell ref="A2:H2"/>
    <mergeCell ref="A3:H3"/>
    <mergeCell ref="D4:E4"/>
    <mergeCell ref="A5:B5"/>
    <mergeCell ref="D5:E5"/>
    <mergeCell ref="G5:H5"/>
    <mergeCell ref="A4:B4"/>
  </mergeCells>
  <pageMargins left="0.78740157480314965" right="0.78740157480314965" top="0.78740157480314965" bottom="0.78740157480314965" header="0.51181102362204722" footer="0.51181102362204722"/>
  <pageSetup paperSize="9" scale="39" orientation="landscape" r:id="rId1"/>
  <headerFooter alignWithMargins="0"/>
  <rowBreaks count="1" manualBreakCount="1">
    <brk id="4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X69"/>
  <sheetViews>
    <sheetView zoomScaleNormal="100" workbookViewId="0">
      <selection activeCell="A5" sqref="A5:B5"/>
    </sheetView>
  </sheetViews>
  <sheetFormatPr defaultColWidth="8.5546875" defaultRowHeight="13.8" x14ac:dyDescent="0.25"/>
  <cols>
    <col min="1" max="1" width="6.44140625" style="127" customWidth="1"/>
    <col min="2" max="2" width="67.21875" style="127" customWidth="1"/>
    <col min="3" max="3" width="16.5546875" style="127" hidden="1" customWidth="1"/>
    <col min="4" max="4" width="15.21875" style="127" hidden="1" customWidth="1"/>
    <col min="5" max="5" width="16.5546875" style="127" hidden="1" customWidth="1"/>
    <col min="6" max="6" width="18.77734375" style="6" hidden="1" customWidth="1"/>
    <col min="7" max="7" width="13.77734375" style="6" hidden="1" customWidth="1"/>
    <col min="8" max="8" width="11.5546875" style="6" hidden="1" customWidth="1"/>
    <col min="9" max="9" width="16.5546875" style="127" hidden="1" customWidth="1"/>
    <col min="10" max="10" width="12.77734375" style="6" hidden="1" customWidth="1"/>
    <col min="11" max="12" width="11.5546875" style="6" hidden="1" customWidth="1"/>
    <col min="13" max="13" width="16.5546875" style="127" hidden="1" customWidth="1"/>
    <col min="14" max="14" width="12.77734375" style="6" hidden="1" customWidth="1"/>
    <col min="15" max="16" width="11.5546875" style="6" hidden="1" customWidth="1"/>
    <col min="17" max="17" width="16.5546875" style="127" customWidth="1"/>
    <col min="18" max="18" width="12.77734375" style="6" customWidth="1"/>
    <col min="19" max="20" width="11.5546875" style="6" customWidth="1"/>
    <col min="21" max="21" width="16.5546875" style="127" customWidth="1"/>
    <col min="22" max="22" width="12.77734375" style="6" customWidth="1"/>
    <col min="23" max="24" width="11.5546875" style="6" customWidth="1"/>
    <col min="25" max="16384" width="8.5546875" style="127"/>
  </cols>
  <sheetData>
    <row r="2" spans="1:24" ht="17.100000000000001" customHeight="1" x14ac:dyDescent="0.35">
      <c r="A2" s="301" t="s">
        <v>468</v>
      </c>
      <c r="B2" s="301"/>
      <c r="C2" s="301"/>
      <c r="D2" s="301"/>
      <c r="E2" s="301"/>
      <c r="F2" s="301"/>
      <c r="G2" s="301"/>
      <c r="H2" s="301"/>
      <c r="J2" s="127"/>
      <c r="K2" s="127"/>
      <c r="L2" s="127"/>
      <c r="N2" s="127"/>
      <c r="O2" s="127"/>
      <c r="P2" s="127"/>
      <c r="R2" s="127"/>
      <c r="S2" s="127"/>
      <c r="T2" s="127"/>
      <c r="V2" s="127"/>
      <c r="W2" s="127"/>
      <c r="X2" s="127"/>
    </row>
    <row r="3" spans="1:24" ht="17.100000000000001" customHeight="1" x14ac:dyDescent="0.35">
      <c r="A3" s="301">
        <v>2022</v>
      </c>
      <c r="B3" s="301"/>
      <c r="C3" s="301"/>
      <c r="D3" s="301"/>
      <c r="E3" s="301"/>
      <c r="F3" s="301"/>
      <c r="G3" s="301"/>
      <c r="H3" s="301"/>
      <c r="J3" s="127"/>
      <c r="K3" s="127"/>
      <c r="L3" s="127"/>
      <c r="N3" s="127"/>
      <c r="O3" s="127"/>
      <c r="P3" s="127"/>
      <c r="R3" s="127"/>
      <c r="S3" s="127"/>
      <c r="T3" s="127"/>
      <c r="V3" s="127"/>
      <c r="W3" s="127"/>
      <c r="X3" s="127"/>
    </row>
    <row r="4" spans="1:24" ht="17.100000000000001" customHeight="1" x14ac:dyDescent="0.3">
      <c r="A4" s="303" t="s">
        <v>567</v>
      </c>
      <c r="B4" s="303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</row>
    <row r="5" spans="1:24" ht="17.100000000000001" customHeight="1" x14ac:dyDescent="0.3">
      <c r="A5" s="303" t="s">
        <v>551</v>
      </c>
      <c r="B5" s="303"/>
      <c r="C5" s="129"/>
      <c r="D5" s="305"/>
      <c r="E5" s="305"/>
      <c r="F5" s="239"/>
      <c r="G5" s="305" t="s">
        <v>15</v>
      </c>
      <c r="H5" s="305"/>
      <c r="J5" s="239"/>
      <c r="K5" s="305" t="s">
        <v>15</v>
      </c>
      <c r="L5" s="305"/>
      <c r="N5" s="239"/>
      <c r="O5" s="305" t="s">
        <v>15</v>
      </c>
      <c r="P5" s="305"/>
      <c r="R5" s="239"/>
      <c r="S5" s="305" t="s">
        <v>15</v>
      </c>
      <c r="T5" s="305"/>
      <c r="V5" s="239"/>
      <c r="W5" s="305" t="s">
        <v>15</v>
      </c>
      <c r="X5" s="305"/>
    </row>
    <row r="6" spans="1:24" ht="17.100000000000001" customHeight="1" x14ac:dyDescent="0.25">
      <c r="A6" s="308" t="s">
        <v>19</v>
      </c>
      <c r="B6" s="308" t="s">
        <v>358</v>
      </c>
      <c r="C6" s="308" t="s">
        <v>484</v>
      </c>
      <c r="D6" s="300" t="s">
        <v>483</v>
      </c>
      <c r="E6" s="300" t="s">
        <v>480</v>
      </c>
      <c r="F6" s="300" t="s">
        <v>480</v>
      </c>
      <c r="G6" s="300"/>
      <c r="H6" s="300"/>
      <c r="I6" s="300" t="s">
        <v>511</v>
      </c>
      <c r="J6" s="300" t="s">
        <v>511</v>
      </c>
      <c r="K6" s="300"/>
      <c r="L6" s="300"/>
      <c r="M6" s="300" t="s">
        <v>518</v>
      </c>
      <c r="N6" s="300" t="s">
        <v>512</v>
      </c>
      <c r="O6" s="300"/>
      <c r="P6" s="300"/>
      <c r="Q6" s="300" t="s">
        <v>531</v>
      </c>
      <c r="R6" s="300" t="s">
        <v>531</v>
      </c>
      <c r="S6" s="300"/>
      <c r="T6" s="300"/>
      <c r="U6" s="300" t="s">
        <v>532</v>
      </c>
      <c r="V6" s="300" t="s">
        <v>532</v>
      </c>
      <c r="W6" s="300"/>
      <c r="X6" s="300"/>
    </row>
    <row r="7" spans="1:24" ht="46.35" customHeight="1" x14ac:dyDescent="0.25">
      <c r="A7" s="309"/>
      <c r="B7" s="309"/>
      <c r="C7" s="309"/>
      <c r="D7" s="300"/>
      <c r="E7" s="300"/>
      <c r="F7" s="235" t="s">
        <v>204</v>
      </c>
      <c r="G7" s="235" t="s">
        <v>205</v>
      </c>
      <c r="H7" s="235" t="s">
        <v>359</v>
      </c>
      <c r="I7" s="300"/>
      <c r="J7" s="235" t="s">
        <v>204</v>
      </c>
      <c r="K7" s="235" t="s">
        <v>205</v>
      </c>
      <c r="L7" s="235" t="s">
        <v>359</v>
      </c>
      <c r="M7" s="300"/>
      <c r="N7" s="235" t="s">
        <v>204</v>
      </c>
      <c r="O7" s="235" t="s">
        <v>205</v>
      </c>
      <c r="P7" s="235" t="s">
        <v>359</v>
      </c>
      <c r="Q7" s="300"/>
      <c r="R7" s="235" t="s">
        <v>204</v>
      </c>
      <c r="S7" s="235" t="s">
        <v>205</v>
      </c>
      <c r="T7" s="235" t="s">
        <v>359</v>
      </c>
      <c r="U7" s="300"/>
      <c r="V7" s="235" t="s">
        <v>204</v>
      </c>
      <c r="W7" s="235" t="s">
        <v>205</v>
      </c>
      <c r="X7" s="235" t="s">
        <v>359</v>
      </c>
    </row>
    <row r="8" spans="1:24" s="3" customFormat="1" ht="17.100000000000001" customHeight="1" x14ac:dyDescent="0.3">
      <c r="A8" s="26" t="s">
        <v>97</v>
      </c>
      <c r="B8" s="26" t="s">
        <v>98</v>
      </c>
      <c r="C8" s="122">
        <f>+'2b. Önkormányzat kiadások'!C8+'3a. Hivatal'!C30+'4. Művelődési Ház'!C30</f>
        <v>187378000</v>
      </c>
      <c r="D8" s="122">
        <f>+'2b. Önkormányzat kiadások'!D8+'3a. Hivatal'!D30+'4. Művelődési Ház'!D30</f>
        <v>168260275</v>
      </c>
      <c r="E8" s="122">
        <f>+'2b. Önkormányzat kiadások'!E8+'3a. Hivatal'!E30+'4. Művelődési Ház'!E30</f>
        <v>208615000</v>
      </c>
      <c r="F8" s="122">
        <f>+E8-G8</f>
        <v>179696250</v>
      </c>
      <c r="G8" s="122">
        <f>+'2b. Önkormányzat kiadások'!G8+'3a. Hivatal'!G30+'4. Művelődési Ház'!G30</f>
        <v>28918750</v>
      </c>
      <c r="H8" s="134">
        <f t="shared" ref="H8" si="0">H9+H16</f>
        <v>0</v>
      </c>
      <c r="I8" s="122">
        <f>+'2b. Önkormányzat kiadások'!I8+'3a. Hivatal'!I30+'4. Művelődési Ház'!I30</f>
        <v>8788000</v>
      </c>
      <c r="J8" s="122">
        <f>I8</f>
        <v>8788000</v>
      </c>
      <c r="K8" s="122"/>
      <c r="L8" s="134">
        <f t="shared" ref="L8" si="1">L9+L16</f>
        <v>0</v>
      </c>
      <c r="M8" s="134">
        <f>E8+I8</f>
        <v>217403000</v>
      </c>
      <c r="N8" s="134">
        <f>F8+J8</f>
        <v>188484250</v>
      </c>
      <c r="O8" s="134">
        <f>G8+K8</f>
        <v>28918750</v>
      </c>
      <c r="P8" s="134">
        <f t="shared" ref="P8" si="2">P9+P16</f>
        <v>0</v>
      </c>
      <c r="Q8" s="122">
        <f>+'2b. Önkormányzat kiadások'!Q8+'3a. Hivatal'!N30+'4. Művelődési Ház'!N30</f>
        <v>7350000</v>
      </c>
      <c r="R8" s="122">
        <f>Q8-150000-175000-1000000</f>
        <v>6025000</v>
      </c>
      <c r="S8" s="122">
        <f>150000+175000+1000000</f>
        <v>1325000</v>
      </c>
      <c r="T8" s="134">
        <f t="shared" ref="T8" si="3">T9+T16</f>
        <v>0</v>
      </c>
      <c r="U8" s="134">
        <f>M8+Q8</f>
        <v>224753000</v>
      </c>
      <c r="V8" s="134">
        <f>N8+R8</f>
        <v>194509250</v>
      </c>
      <c r="W8" s="134">
        <f>O8+S8</f>
        <v>30243750</v>
      </c>
      <c r="X8" s="134">
        <f t="shared" ref="X8" si="4">X9+X16</f>
        <v>0</v>
      </c>
    </row>
    <row r="9" spans="1:24" s="4" customFormat="1" ht="17.100000000000001" hidden="1" customHeight="1" x14ac:dyDescent="0.3">
      <c r="A9" s="23" t="s">
        <v>99</v>
      </c>
      <c r="B9" s="23" t="s">
        <v>100</v>
      </c>
      <c r="C9" s="24"/>
      <c r="D9" s="24"/>
      <c r="E9" s="24"/>
      <c r="F9" s="122">
        <f t="shared" ref="F9:F44" si="5">+E9-G9</f>
        <v>0</v>
      </c>
      <c r="G9" s="24">
        <f t="shared" ref="G9:H9" si="6">SUM(G10:G15)</f>
        <v>0</v>
      </c>
      <c r="H9" s="24">
        <f t="shared" si="6"/>
        <v>0</v>
      </c>
      <c r="I9" s="24"/>
      <c r="J9" s="24">
        <f t="shared" ref="J9:J66" si="7">I9</f>
        <v>0</v>
      </c>
      <c r="K9" s="24">
        <f t="shared" ref="K9:L9" si="8">SUM(K10:K15)</f>
        <v>0</v>
      </c>
      <c r="L9" s="24">
        <f t="shared" si="8"/>
        <v>0</v>
      </c>
      <c r="M9" s="24">
        <f t="shared" ref="M9:M67" si="9">E9+I9</f>
        <v>0</v>
      </c>
      <c r="N9" s="24">
        <f t="shared" ref="N9:N67" si="10">F9+J9</f>
        <v>0</v>
      </c>
      <c r="O9" s="24">
        <f t="shared" ref="O9:O67" si="11">G9+K9</f>
        <v>0</v>
      </c>
      <c r="P9" s="24">
        <f t="shared" ref="P9" si="12">SUM(P10:P15)</f>
        <v>0</v>
      </c>
      <c r="Q9" s="24"/>
      <c r="R9" s="24">
        <f t="shared" ref="R9:R19" si="13">Q9</f>
        <v>0</v>
      </c>
      <c r="S9" s="24">
        <f t="shared" ref="S9:T9" si="14">SUM(S10:S15)</f>
        <v>0</v>
      </c>
      <c r="T9" s="24">
        <f t="shared" si="14"/>
        <v>0</v>
      </c>
      <c r="U9" s="24">
        <f t="shared" ref="U9:U67" si="15">M9+Q9</f>
        <v>0</v>
      </c>
      <c r="V9" s="24">
        <f t="shared" ref="V9:V67" si="16">N9+R9</f>
        <v>0</v>
      </c>
      <c r="W9" s="24">
        <f t="shared" ref="W9:W67" si="17">O9+S9</f>
        <v>0</v>
      </c>
      <c r="X9" s="24">
        <f t="shared" ref="X9" si="18">SUM(X10:X15)</f>
        <v>0</v>
      </c>
    </row>
    <row r="10" spans="1:24" s="4" customFormat="1" ht="17.100000000000001" hidden="1" customHeight="1" x14ac:dyDescent="0.3">
      <c r="A10" s="23" t="s">
        <v>101</v>
      </c>
      <c r="B10" s="23" t="s">
        <v>102</v>
      </c>
      <c r="C10" s="24"/>
      <c r="D10" s="24"/>
      <c r="E10" s="24"/>
      <c r="F10" s="122">
        <f t="shared" si="5"/>
        <v>0</v>
      </c>
      <c r="G10" s="25"/>
      <c r="H10" s="25"/>
      <c r="I10" s="24"/>
      <c r="J10" s="24">
        <f t="shared" si="7"/>
        <v>0</v>
      </c>
      <c r="K10" s="25"/>
      <c r="L10" s="25"/>
      <c r="M10" s="25">
        <f t="shared" si="9"/>
        <v>0</v>
      </c>
      <c r="N10" s="25">
        <f t="shared" si="10"/>
        <v>0</v>
      </c>
      <c r="O10" s="25">
        <f t="shared" si="11"/>
        <v>0</v>
      </c>
      <c r="P10" s="25"/>
      <c r="Q10" s="24"/>
      <c r="R10" s="24">
        <f t="shared" si="13"/>
        <v>0</v>
      </c>
      <c r="S10" s="25"/>
      <c r="T10" s="25"/>
      <c r="U10" s="25">
        <f t="shared" si="15"/>
        <v>0</v>
      </c>
      <c r="V10" s="25">
        <f t="shared" si="16"/>
        <v>0</v>
      </c>
      <c r="W10" s="25">
        <f t="shared" si="17"/>
        <v>0</v>
      </c>
      <c r="X10" s="25"/>
    </row>
    <row r="11" spans="1:24" s="4" customFormat="1" ht="17.100000000000001" hidden="1" customHeight="1" x14ac:dyDescent="0.3">
      <c r="A11" s="23" t="s">
        <v>103</v>
      </c>
      <c r="B11" s="23" t="s">
        <v>104</v>
      </c>
      <c r="C11" s="24"/>
      <c r="D11" s="24"/>
      <c r="E11" s="24"/>
      <c r="F11" s="122">
        <f t="shared" si="5"/>
        <v>0</v>
      </c>
      <c r="G11" s="25"/>
      <c r="H11" s="25"/>
      <c r="I11" s="24"/>
      <c r="J11" s="24">
        <f t="shared" si="7"/>
        <v>0</v>
      </c>
      <c r="K11" s="25"/>
      <c r="L11" s="25"/>
      <c r="M11" s="25">
        <f t="shared" si="9"/>
        <v>0</v>
      </c>
      <c r="N11" s="25">
        <f t="shared" si="10"/>
        <v>0</v>
      </c>
      <c r="O11" s="25">
        <f t="shared" si="11"/>
        <v>0</v>
      </c>
      <c r="P11" s="25"/>
      <c r="Q11" s="24"/>
      <c r="R11" s="24">
        <f t="shared" si="13"/>
        <v>0</v>
      </c>
      <c r="S11" s="25"/>
      <c r="T11" s="25"/>
      <c r="U11" s="25">
        <f t="shared" si="15"/>
        <v>0</v>
      </c>
      <c r="V11" s="25">
        <f t="shared" si="16"/>
        <v>0</v>
      </c>
      <c r="W11" s="25">
        <f t="shared" si="17"/>
        <v>0</v>
      </c>
      <c r="X11" s="25"/>
    </row>
    <row r="12" spans="1:24" s="4" customFormat="1" ht="17.100000000000001" hidden="1" customHeight="1" x14ac:dyDescent="0.3">
      <c r="A12" s="23" t="s">
        <v>105</v>
      </c>
      <c r="B12" s="23" t="s">
        <v>106</v>
      </c>
      <c r="C12" s="24"/>
      <c r="D12" s="24"/>
      <c r="E12" s="24"/>
      <c r="F12" s="122">
        <f t="shared" si="5"/>
        <v>0</v>
      </c>
      <c r="G12" s="25"/>
      <c r="H12" s="25"/>
      <c r="I12" s="24"/>
      <c r="J12" s="24">
        <f t="shared" si="7"/>
        <v>0</v>
      </c>
      <c r="K12" s="25"/>
      <c r="L12" s="25"/>
      <c r="M12" s="25">
        <f t="shared" si="9"/>
        <v>0</v>
      </c>
      <c r="N12" s="25">
        <f t="shared" si="10"/>
        <v>0</v>
      </c>
      <c r="O12" s="25">
        <f t="shared" si="11"/>
        <v>0</v>
      </c>
      <c r="P12" s="25"/>
      <c r="Q12" s="24"/>
      <c r="R12" s="24">
        <f t="shared" si="13"/>
        <v>0</v>
      </c>
      <c r="S12" s="25"/>
      <c r="T12" s="25"/>
      <c r="U12" s="25">
        <f t="shared" si="15"/>
        <v>0</v>
      </c>
      <c r="V12" s="25">
        <f t="shared" si="16"/>
        <v>0</v>
      </c>
      <c r="W12" s="25">
        <f t="shared" si="17"/>
        <v>0</v>
      </c>
      <c r="X12" s="25"/>
    </row>
    <row r="13" spans="1:24" s="4" customFormat="1" ht="17.100000000000001" hidden="1" customHeight="1" x14ac:dyDescent="0.3">
      <c r="A13" s="23" t="s">
        <v>107</v>
      </c>
      <c r="B13" s="23" t="s">
        <v>108</v>
      </c>
      <c r="C13" s="24"/>
      <c r="D13" s="24"/>
      <c r="E13" s="24"/>
      <c r="F13" s="122">
        <f t="shared" si="5"/>
        <v>0</v>
      </c>
      <c r="G13" s="25"/>
      <c r="H13" s="25"/>
      <c r="I13" s="24"/>
      <c r="J13" s="24">
        <f t="shared" si="7"/>
        <v>0</v>
      </c>
      <c r="K13" s="25"/>
      <c r="L13" s="25"/>
      <c r="M13" s="25">
        <f t="shared" si="9"/>
        <v>0</v>
      </c>
      <c r="N13" s="25">
        <f t="shared" si="10"/>
        <v>0</v>
      </c>
      <c r="O13" s="25">
        <f t="shared" si="11"/>
        <v>0</v>
      </c>
      <c r="P13" s="25"/>
      <c r="Q13" s="24"/>
      <c r="R13" s="24">
        <f t="shared" si="13"/>
        <v>0</v>
      </c>
      <c r="S13" s="25"/>
      <c r="T13" s="25"/>
      <c r="U13" s="25">
        <f t="shared" si="15"/>
        <v>0</v>
      </c>
      <c r="V13" s="25">
        <f t="shared" si="16"/>
        <v>0</v>
      </c>
      <c r="W13" s="25">
        <f t="shared" si="17"/>
        <v>0</v>
      </c>
      <c r="X13" s="25"/>
    </row>
    <row r="14" spans="1:24" s="4" customFormat="1" ht="17.100000000000001" hidden="1" customHeight="1" x14ac:dyDescent="0.3">
      <c r="A14" s="23" t="s">
        <v>109</v>
      </c>
      <c r="B14" s="23" t="s">
        <v>110</v>
      </c>
      <c r="C14" s="24"/>
      <c r="D14" s="24"/>
      <c r="E14" s="24"/>
      <c r="F14" s="122">
        <f t="shared" si="5"/>
        <v>0</v>
      </c>
      <c r="G14" s="25"/>
      <c r="H14" s="25"/>
      <c r="I14" s="24"/>
      <c r="J14" s="24">
        <f t="shared" si="7"/>
        <v>0</v>
      </c>
      <c r="K14" s="25"/>
      <c r="L14" s="25"/>
      <c r="M14" s="25">
        <f t="shared" si="9"/>
        <v>0</v>
      </c>
      <c r="N14" s="25">
        <f t="shared" si="10"/>
        <v>0</v>
      </c>
      <c r="O14" s="25">
        <f t="shared" si="11"/>
        <v>0</v>
      </c>
      <c r="P14" s="25"/>
      <c r="Q14" s="24"/>
      <c r="R14" s="24">
        <f t="shared" si="13"/>
        <v>0</v>
      </c>
      <c r="S14" s="25"/>
      <c r="T14" s="25"/>
      <c r="U14" s="25">
        <f t="shared" si="15"/>
        <v>0</v>
      </c>
      <c r="V14" s="25">
        <f t="shared" si="16"/>
        <v>0</v>
      </c>
      <c r="W14" s="25">
        <f t="shared" si="17"/>
        <v>0</v>
      </c>
      <c r="X14" s="25"/>
    </row>
    <row r="15" spans="1:24" s="4" customFormat="1" ht="17.100000000000001" hidden="1" customHeight="1" x14ac:dyDescent="0.3">
      <c r="A15" s="23" t="s">
        <v>111</v>
      </c>
      <c r="B15" s="23" t="s">
        <v>112</v>
      </c>
      <c r="C15" s="24"/>
      <c r="D15" s="24"/>
      <c r="E15" s="24"/>
      <c r="F15" s="122">
        <f t="shared" si="5"/>
        <v>0</v>
      </c>
      <c r="G15" s="25"/>
      <c r="H15" s="25"/>
      <c r="I15" s="24"/>
      <c r="J15" s="24">
        <f t="shared" si="7"/>
        <v>0</v>
      </c>
      <c r="K15" s="25"/>
      <c r="L15" s="25"/>
      <c r="M15" s="25">
        <f t="shared" si="9"/>
        <v>0</v>
      </c>
      <c r="N15" s="25">
        <f t="shared" si="10"/>
        <v>0</v>
      </c>
      <c r="O15" s="25">
        <f t="shared" si="11"/>
        <v>0</v>
      </c>
      <c r="P15" s="25"/>
      <c r="Q15" s="24"/>
      <c r="R15" s="24">
        <f t="shared" si="13"/>
        <v>0</v>
      </c>
      <c r="S15" s="25"/>
      <c r="T15" s="25"/>
      <c r="U15" s="25">
        <f t="shared" si="15"/>
        <v>0</v>
      </c>
      <c r="V15" s="25">
        <f t="shared" si="16"/>
        <v>0</v>
      </c>
      <c r="W15" s="25">
        <f t="shared" si="17"/>
        <v>0</v>
      </c>
      <c r="X15" s="25"/>
    </row>
    <row r="16" spans="1:24" s="4" customFormat="1" ht="17.100000000000001" hidden="1" customHeight="1" x14ac:dyDescent="0.3">
      <c r="A16" s="23" t="s">
        <v>113</v>
      </c>
      <c r="B16" s="23" t="s">
        <v>114</v>
      </c>
      <c r="C16" s="24"/>
      <c r="D16" s="24"/>
      <c r="E16" s="24"/>
      <c r="F16" s="122">
        <f t="shared" si="5"/>
        <v>0</v>
      </c>
      <c r="G16" s="24">
        <f t="shared" ref="G16:H16" si="19">SUM(G17:G19)</f>
        <v>0</v>
      </c>
      <c r="H16" s="24">
        <f t="shared" si="19"/>
        <v>0</v>
      </c>
      <c r="I16" s="24"/>
      <c r="J16" s="24">
        <f t="shared" si="7"/>
        <v>0</v>
      </c>
      <c r="K16" s="24">
        <f t="shared" ref="K16:L16" si="20">SUM(K17:K19)</f>
        <v>0</v>
      </c>
      <c r="L16" s="24">
        <f t="shared" si="20"/>
        <v>0</v>
      </c>
      <c r="M16" s="24">
        <f t="shared" si="9"/>
        <v>0</v>
      </c>
      <c r="N16" s="24">
        <f t="shared" si="10"/>
        <v>0</v>
      </c>
      <c r="O16" s="24">
        <f t="shared" si="11"/>
        <v>0</v>
      </c>
      <c r="P16" s="24">
        <f t="shared" ref="P16" si="21">SUM(P17:P19)</f>
        <v>0</v>
      </c>
      <c r="Q16" s="24"/>
      <c r="R16" s="24">
        <f t="shared" si="13"/>
        <v>0</v>
      </c>
      <c r="S16" s="24">
        <f t="shared" ref="S16:T16" si="22">SUM(S17:S19)</f>
        <v>0</v>
      </c>
      <c r="T16" s="24">
        <f t="shared" si="22"/>
        <v>0</v>
      </c>
      <c r="U16" s="24">
        <f t="shared" si="15"/>
        <v>0</v>
      </c>
      <c r="V16" s="24">
        <f t="shared" si="16"/>
        <v>0</v>
      </c>
      <c r="W16" s="24">
        <f t="shared" si="17"/>
        <v>0</v>
      </c>
      <c r="X16" s="24">
        <f t="shared" ref="X16" si="23">SUM(X17:X19)</f>
        <v>0</v>
      </c>
    </row>
    <row r="17" spans="1:24" s="4" customFormat="1" ht="17.100000000000001" hidden="1" customHeight="1" x14ac:dyDescent="0.3">
      <c r="A17" s="23" t="s">
        <v>115</v>
      </c>
      <c r="B17" s="23" t="s">
        <v>116</v>
      </c>
      <c r="C17" s="24"/>
      <c r="D17" s="24"/>
      <c r="E17" s="24"/>
      <c r="F17" s="122">
        <f t="shared" si="5"/>
        <v>0</v>
      </c>
      <c r="G17" s="25"/>
      <c r="H17" s="25"/>
      <c r="I17" s="24"/>
      <c r="J17" s="24">
        <f t="shared" si="7"/>
        <v>0</v>
      </c>
      <c r="K17" s="25"/>
      <c r="L17" s="25"/>
      <c r="M17" s="25">
        <f t="shared" si="9"/>
        <v>0</v>
      </c>
      <c r="N17" s="25">
        <f t="shared" si="10"/>
        <v>0</v>
      </c>
      <c r="O17" s="25">
        <f t="shared" si="11"/>
        <v>0</v>
      </c>
      <c r="P17" s="25"/>
      <c r="Q17" s="24"/>
      <c r="R17" s="24">
        <f t="shared" si="13"/>
        <v>0</v>
      </c>
      <c r="S17" s="25"/>
      <c r="T17" s="25"/>
      <c r="U17" s="25">
        <f t="shared" si="15"/>
        <v>0</v>
      </c>
      <c r="V17" s="25">
        <f t="shared" si="16"/>
        <v>0</v>
      </c>
      <c r="W17" s="25">
        <f t="shared" si="17"/>
        <v>0</v>
      </c>
      <c r="X17" s="25"/>
    </row>
    <row r="18" spans="1:24" s="4" customFormat="1" ht="17.100000000000001" hidden="1" customHeight="1" x14ac:dyDescent="0.3">
      <c r="A18" s="23" t="s">
        <v>117</v>
      </c>
      <c r="B18" s="23" t="s">
        <v>0</v>
      </c>
      <c r="C18" s="24"/>
      <c r="D18" s="24"/>
      <c r="E18" s="24"/>
      <c r="F18" s="122">
        <f t="shared" si="5"/>
        <v>0</v>
      </c>
      <c r="G18" s="25"/>
      <c r="H18" s="25"/>
      <c r="I18" s="24"/>
      <c r="J18" s="24">
        <f t="shared" si="7"/>
        <v>0</v>
      </c>
      <c r="K18" s="25"/>
      <c r="L18" s="25"/>
      <c r="M18" s="25">
        <f t="shared" si="9"/>
        <v>0</v>
      </c>
      <c r="N18" s="25">
        <f t="shared" si="10"/>
        <v>0</v>
      </c>
      <c r="O18" s="25">
        <f t="shared" si="11"/>
        <v>0</v>
      </c>
      <c r="P18" s="25"/>
      <c r="Q18" s="24"/>
      <c r="R18" s="24">
        <f t="shared" si="13"/>
        <v>0</v>
      </c>
      <c r="S18" s="25"/>
      <c r="T18" s="25"/>
      <c r="U18" s="25">
        <f t="shared" si="15"/>
        <v>0</v>
      </c>
      <c r="V18" s="25">
        <f t="shared" si="16"/>
        <v>0</v>
      </c>
      <c r="W18" s="25">
        <f t="shared" si="17"/>
        <v>0</v>
      </c>
      <c r="X18" s="25"/>
    </row>
    <row r="19" spans="1:24" s="4" customFormat="1" ht="17.100000000000001" hidden="1" customHeight="1" x14ac:dyDescent="0.3">
      <c r="A19" s="23" t="s">
        <v>118</v>
      </c>
      <c r="B19" s="23" t="s">
        <v>119</v>
      </c>
      <c r="C19" s="24"/>
      <c r="D19" s="24"/>
      <c r="E19" s="24"/>
      <c r="F19" s="122">
        <f t="shared" si="5"/>
        <v>0</v>
      </c>
      <c r="G19" s="25"/>
      <c r="H19" s="25"/>
      <c r="I19" s="24"/>
      <c r="J19" s="24">
        <f t="shared" si="7"/>
        <v>0</v>
      </c>
      <c r="K19" s="25"/>
      <c r="L19" s="25"/>
      <c r="M19" s="25">
        <f t="shared" si="9"/>
        <v>0</v>
      </c>
      <c r="N19" s="25">
        <f t="shared" si="10"/>
        <v>0</v>
      </c>
      <c r="O19" s="25">
        <f t="shared" si="11"/>
        <v>0</v>
      </c>
      <c r="P19" s="25"/>
      <c r="Q19" s="24"/>
      <c r="R19" s="24">
        <f t="shared" si="13"/>
        <v>0</v>
      </c>
      <c r="S19" s="25"/>
      <c r="T19" s="25"/>
      <c r="U19" s="25">
        <f t="shared" si="15"/>
        <v>0</v>
      </c>
      <c r="V19" s="25">
        <f t="shared" si="16"/>
        <v>0</v>
      </c>
      <c r="W19" s="25">
        <f t="shared" si="17"/>
        <v>0</v>
      </c>
      <c r="X19" s="25"/>
    </row>
    <row r="20" spans="1:24" s="3" customFormat="1" ht="17.100000000000001" customHeight="1" x14ac:dyDescent="0.3">
      <c r="A20" s="26" t="s">
        <v>120</v>
      </c>
      <c r="B20" s="26" t="s">
        <v>121</v>
      </c>
      <c r="C20" s="131">
        <f>+'2b. Önkormányzat kiadások'!C20+'3a. Hivatal'!C33+'4. Művelődési Ház'!C33</f>
        <v>29683000</v>
      </c>
      <c r="D20" s="131">
        <f>+'2b. Önkormányzat kiadások'!D20+'3a. Hivatal'!D33+'4. Művelődési Ház'!D33</f>
        <v>26788989</v>
      </c>
      <c r="E20" s="131">
        <f>+'2b. Önkormányzat kiadások'!E20+'3a. Hivatal'!E33+'4. Művelődési Ház'!E33</f>
        <v>31084000</v>
      </c>
      <c r="F20" s="122">
        <f t="shared" si="5"/>
        <v>26584000</v>
      </c>
      <c r="G20" s="131">
        <f>+'2b. Önkormányzat kiadások'!G20+'3a. Hivatal'!G33+'4. Művelődési Ház'!G33</f>
        <v>4500000</v>
      </c>
      <c r="H20" s="140">
        <v>0</v>
      </c>
      <c r="I20" s="131">
        <f>+'2b. Önkormányzat kiadások'!I20+'3a. Hivatal'!I33+'4. Művelődési Ház'!I33</f>
        <v>1036000</v>
      </c>
      <c r="J20" s="131">
        <f t="shared" si="7"/>
        <v>1036000</v>
      </c>
      <c r="K20" s="131"/>
      <c r="L20" s="140">
        <v>0</v>
      </c>
      <c r="M20" s="140">
        <f t="shared" si="9"/>
        <v>32120000</v>
      </c>
      <c r="N20" s="140">
        <f t="shared" si="10"/>
        <v>27620000</v>
      </c>
      <c r="O20" s="140">
        <f t="shared" si="11"/>
        <v>4500000</v>
      </c>
      <c r="P20" s="140">
        <v>0</v>
      </c>
      <c r="Q20" s="131">
        <f>+'2b. Önkormányzat kiadások'!Q20+'3a. Hivatal'!N33+'4. Művelődési Ház'!N33</f>
        <v>1796500</v>
      </c>
      <c r="R20" s="131">
        <f>Q20-19500-130000</f>
        <v>1647000</v>
      </c>
      <c r="S20" s="131">
        <f>19500+130000</f>
        <v>149500</v>
      </c>
      <c r="T20" s="140">
        <v>0</v>
      </c>
      <c r="U20" s="140">
        <f t="shared" si="15"/>
        <v>33916500</v>
      </c>
      <c r="V20" s="140">
        <f t="shared" si="16"/>
        <v>29267000</v>
      </c>
      <c r="W20" s="140">
        <f t="shared" si="17"/>
        <v>4649500</v>
      </c>
      <c r="X20" s="140">
        <v>0</v>
      </c>
    </row>
    <row r="21" spans="1:24" s="3" customFormat="1" ht="17.100000000000001" customHeight="1" x14ac:dyDescent="0.3">
      <c r="A21" s="26" t="s">
        <v>122</v>
      </c>
      <c r="B21" s="26" t="s">
        <v>123</v>
      </c>
      <c r="C21" s="122">
        <f>+'2b. Önkormányzat kiadások'!C21+'3a. Hivatal'!C34+'4. Művelődési Ház'!C34</f>
        <v>385160430</v>
      </c>
      <c r="D21" s="122">
        <f>+'2b. Önkormányzat kiadások'!D21+'3a. Hivatal'!D34+'4. Művelődési Ház'!D34</f>
        <v>235896301</v>
      </c>
      <c r="E21" s="122">
        <f>+'2b. Önkormányzat kiadások'!E21+'3a. Hivatal'!E34+'4. Művelődési Ház'!E34</f>
        <v>419283000</v>
      </c>
      <c r="F21" s="122">
        <f t="shared" si="5"/>
        <v>315092000</v>
      </c>
      <c r="G21" s="122">
        <f>+'2b. Önkormányzat kiadások'!G21+'3a. Hivatal'!G34+'4. Művelődési Ház'!G34</f>
        <v>104191000</v>
      </c>
      <c r="H21" s="134">
        <f t="shared" ref="H21" si="24">H22+H25+H28+H36+H37</f>
        <v>0</v>
      </c>
      <c r="I21" s="122">
        <f>+'2b. Önkormányzat kiadások'!I21+'3a. Hivatal'!I34+'4. Művelődési Ház'!I34</f>
        <v>-23334000</v>
      </c>
      <c r="J21" s="122">
        <f>I21-1000000</f>
        <v>-24334000</v>
      </c>
      <c r="K21" s="122">
        <v>1000000</v>
      </c>
      <c r="L21" s="134">
        <f t="shared" ref="L21" si="25">L22+L25+L28+L36+L37</f>
        <v>0</v>
      </c>
      <c r="M21" s="134">
        <f t="shared" si="9"/>
        <v>395949000</v>
      </c>
      <c r="N21" s="134">
        <f t="shared" si="10"/>
        <v>290758000</v>
      </c>
      <c r="O21" s="134">
        <f t="shared" si="11"/>
        <v>105191000</v>
      </c>
      <c r="P21" s="134">
        <f t="shared" ref="P21" si="26">P22+P25+P28+P36+P37</f>
        <v>0</v>
      </c>
      <c r="Q21" s="122">
        <f>+'2b. Önkormányzat kiadások'!Q21+'3a. Hivatal'!N34+'4. Művelődési Ház'!N34</f>
        <v>63098680</v>
      </c>
      <c r="R21" s="122">
        <f>Q21-23581000-351000</f>
        <v>39166680</v>
      </c>
      <c r="S21" s="122">
        <f>23581000+351000</f>
        <v>23932000</v>
      </c>
      <c r="T21" s="134">
        <f t="shared" ref="T21" si="27">T22+T25+T28+T36+T37</f>
        <v>0</v>
      </c>
      <c r="U21" s="134">
        <f t="shared" si="15"/>
        <v>459047680</v>
      </c>
      <c r="V21" s="134">
        <f t="shared" si="16"/>
        <v>329924680</v>
      </c>
      <c r="W21" s="134">
        <f t="shared" si="17"/>
        <v>129123000</v>
      </c>
      <c r="X21" s="134">
        <f t="shared" ref="X21" si="28">X22+X25+X28+X36+X37</f>
        <v>0</v>
      </c>
    </row>
    <row r="22" spans="1:24" s="4" customFormat="1" ht="17.100000000000001" hidden="1" customHeight="1" x14ac:dyDescent="0.3">
      <c r="A22" s="23" t="s">
        <v>124</v>
      </c>
      <c r="B22" s="23" t="s">
        <v>125</v>
      </c>
      <c r="C22" s="123"/>
      <c r="D22" s="123"/>
      <c r="E22" s="123"/>
      <c r="F22" s="122">
        <f t="shared" si="5"/>
        <v>0</v>
      </c>
      <c r="G22" s="135">
        <v>0</v>
      </c>
      <c r="H22" s="135">
        <v>0</v>
      </c>
      <c r="I22" s="123"/>
      <c r="J22" s="123">
        <f t="shared" si="7"/>
        <v>0</v>
      </c>
      <c r="K22" s="135">
        <v>0</v>
      </c>
      <c r="L22" s="135">
        <v>0</v>
      </c>
      <c r="M22" s="135">
        <f t="shared" si="9"/>
        <v>0</v>
      </c>
      <c r="N22" s="135">
        <f t="shared" si="10"/>
        <v>0</v>
      </c>
      <c r="O22" s="135">
        <f t="shared" si="11"/>
        <v>0</v>
      </c>
      <c r="P22" s="135">
        <v>0</v>
      </c>
      <c r="Q22" s="123"/>
      <c r="R22" s="123">
        <f t="shared" ref="R22:R66" si="29">Q22</f>
        <v>0</v>
      </c>
      <c r="S22" s="135">
        <v>0</v>
      </c>
      <c r="T22" s="135">
        <v>0</v>
      </c>
      <c r="U22" s="135">
        <f t="shared" si="15"/>
        <v>0</v>
      </c>
      <c r="V22" s="135">
        <f t="shared" si="16"/>
        <v>0</v>
      </c>
      <c r="W22" s="135">
        <f t="shared" si="17"/>
        <v>0</v>
      </c>
      <c r="X22" s="135">
        <v>0</v>
      </c>
    </row>
    <row r="23" spans="1:24" s="4" customFormat="1" ht="17.100000000000001" hidden="1" customHeight="1" x14ac:dyDescent="0.3">
      <c r="A23" s="23" t="s">
        <v>126</v>
      </c>
      <c r="B23" s="23" t="s">
        <v>127</v>
      </c>
      <c r="C23" s="24"/>
      <c r="D23" s="24"/>
      <c r="E23" s="24"/>
      <c r="F23" s="122">
        <f t="shared" si="5"/>
        <v>0</v>
      </c>
      <c r="G23" s="25"/>
      <c r="H23" s="25"/>
      <c r="I23" s="24"/>
      <c r="J23" s="24">
        <f t="shared" si="7"/>
        <v>0</v>
      </c>
      <c r="K23" s="25"/>
      <c r="L23" s="25"/>
      <c r="M23" s="25">
        <f t="shared" si="9"/>
        <v>0</v>
      </c>
      <c r="N23" s="25">
        <f t="shared" si="10"/>
        <v>0</v>
      </c>
      <c r="O23" s="25">
        <f t="shared" si="11"/>
        <v>0</v>
      </c>
      <c r="P23" s="25"/>
      <c r="Q23" s="24"/>
      <c r="R23" s="24">
        <f t="shared" si="29"/>
        <v>0</v>
      </c>
      <c r="S23" s="25"/>
      <c r="T23" s="25"/>
      <c r="U23" s="25">
        <f t="shared" si="15"/>
        <v>0</v>
      </c>
      <c r="V23" s="25">
        <f t="shared" si="16"/>
        <v>0</v>
      </c>
      <c r="W23" s="25">
        <f t="shared" si="17"/>
        <v>0</v>
      </c>
      <c r="X23" s="25"/>
    </row>
    <row r="24" spans="1:24" s="4" customFormat="1" ht="17.100000000000001" hidden="1" customHeight="1" x14ac:dyDescent="0.3">
      <c r="A24" s="23" t="s">
        <v>128</v>
      </c>
      <c r="B24" s="23" t="s">
        <v>129</v>
      </c>
      <c r="C24" s="24"/>
      <c r="D24" s="24"/>
      <c r="E24" s="24"/>
      <c r="F24" s="122">
        <f t="shared" si="5"/>
        <v>0</v>
      </c>
      <c r="G24" s="25"/>
      <c r="H24" s="25"/>
      <c r="I24" s="24"/>
      <c r="J24" s="24">
        <f t="shared" si="7"/>
        <v>0</v>
      </c>
      <c r="K24" s="25"/>
      <c r="L24" s="25"/>
      <c r="M24" s="25">
        <f t="shared" si="9"/>
        <v>0</v>
      </c>
      <c r="N24" s="25">
        <f t="shared" si="10"/>
        <v>0</v>
      </c>
      <c r="O24" s="25">
        <f t="shared" si="11"/>
        <v>0</v>
      </c>
      <c r="P24" s="25"/>
      <c r="Q24" s="24"/>
      <c r="R24" s="24">
        <f t="shared" si="29"/>
        <v>0</v>
      </c>
      <c r="S24" s="25"/>
      <c r="T24" s="25"/>
      <c r="U24" s="25">
        <f t="shared" si="15"/>
        <v>0</v>
      </c>
      <c r="V24" s="25">
        <f t="shared" si="16"/>
        <v>0</v>
      </c>
      <c r="W24" s="25">
        <f t="shared" si="17"/>
        <v>0</v>
      </c>
      <c r="X24" s="25"/>
    </row>
    <row r="25" spans="1:24" s="4" customFormat="1" ht="17.100000000000001" hidden="1" customHeight="1" x14ac:dyDescent="0.3">
      <c r="A25" s="23" t="s">
        <v>130</v>
      </c>
      <c r="B25" s="23" t="s">
        <v>131</v>
      </c>
      <c r="C25" s="24"/>
      <c r="D25" s="24"/>
      <c r="E25" s="24"/>
      <c r="F25" s="122">
        <f t="shared" si="5"/>
        <v>0</v>
      </c>
      <c r="G25" s="25"/>
      <c r="H25" s="25"/>
      <c r="I25" s="24"/>
      <c r="J25" s="24">
        <f t="shared" si="7"/>
        <v>0</v>
      </c>
      <c r="K25" s="25"/>
      <c r="L25" s="25"/>
      <c r="M25" s="25">
        <f t="shared" si="9"/>
        <v>0</v>
      </c>
      <c r="N25" s="25">
        <f t="shared" si="10"/>
        <v>0</v>
      </c>
      <c r="O25" s="25">
        <f t="shared" si="11"/>
        <v>0</v>
      </c>
      <c r="P25" s="25"/>
      <c r="Q25" s="24"/>
      <c r="R25" s="24">
        <f t="shared" si="29"/>
        <v>0</v>
      </c>
      <c r="S25" s="25"/>
      <c r="T25" s="25"/>
      <c r="U25" s="25">
        <f t="shared" si="15"/>
        <v>0</v>
      </c>
      <c r="V25" s="25">
        <f t="shared" si="16"/>
        <v>0</v>
      </c>
      <c r="W25" s="25">
        <f t="shared" si="17"/>
        <v>0</v>
      </c>
      <c r="X25" s="25"/>
    </row>
    <row r="26" spans="1:24" s="4" customFormat="1" ht="17.100000000000001" hidden="1" customHeight="1" x14ac:dyDescent="0.3">
      <c r="A26" s="23" t="s">
        <v>132</v>
      </c>
      <c r="B26" s="23" t="s">
        <v>133</v>
      </c>
      <c r="C26" s="24"/>
      <c r="D26" s="24"/>
      <c r="E26" s="24"/>
      <c r="F26" s="122">
        <f t="shared" si="5"/>
        <v>0</v>
      </c>
      <c r="G26" s="25"/>
      <c r="H26" s="25"/>
      <c r="I26" s="24"/>
      <c r="J26" s="24">
        <f t="shared" si="7"/>
        <v>0</v>
      </c>
      <c r="K26" s="25"/>
      <c r="L26" s="25"/>
      <c r="M26" s="25">
        <f t="shared" si="9"/>
        <v>0</v>
      </c>
      <c r="N26" s="25">
        <f t="shared" si="10"/>
        <v>0</v>
      </c>
      <c r="O26" s="25">
        <f t="shared" si="11"/>
        <v>0</v>
      </c>
      <c r="P26" s="25"/>
      <c r="Q26" s="24"/>
      <c r="R26" s="24">
        <f t="shared" si="29"/>
        <v>0</v>
      </c>
      <c r="S26" s="25"/>
      <c r="T26" s="25"/>
      <c r="U26" s="25">
        <f t="shared" si="15"/>
        <v>0</v>
      </c>
      <c r="V26" s="25">
        <f t="shared" si="16"/>
        <v>0</v>
      </c>
      <c r="W26" s="25">
        <f t="shared" si="17"/>
        <v>0</v>
      </c>
      <c r="X26" s="25"/>
    </row>
    <row r="27" spans="1:24" s="4" customFormat="1" ht="17.100000000000001" hidden="1" customHeight="1" x14ac:dyDescent="0.3">
      <c r="A27" s="23" t="s">
        <v>134</v>
      </c>
      <c r="B27" s="23" t="s">
        <v>135</v>
      </c>
      <c r="C27" s="24"/>
      <c r="D27" s="24"/>
      <c r="E27" s="24"/>
      <c r="F27" s="122">
        <f t="shared" si="5"/>
        <v>0</v>
      </c>
      <c r="G27" s="25"/>
      <c r="H27" s="25"/>
      <c r="I27" s="24"/>
      <c r="J27" s="24">
        <f t="shared" si="7"/>
        <v>0</v>
      </c>
      <c r="K27" s="25"/>
      <c r="L27" s="25"/>
      <c r="M27" s="25">
        <f t="shared" si="9"/>
        <v>0</v>
      </c>
      <c r="N27" s="25">
        <f t="shared" si="10"/>
        <v>0</v>
      </c>
      <c r="O27" s="25">
        <f t="shared" si="11"/>
        <v>0</v>
      </c>
      <c r="P27" s="25"/>
      <c r="Q27" s="24"/>
      <c r="R27" s="24">
        <f t="shared" si="29"/>
        <v>0</v>
      </c>
      <c r="S27" s="25"/>
      <c r="T27" s="25"/>
      <c r="U27" s="25">
        <f t="shared" si="15"/>
        <v>0</v>
      </c>
      <c r="V27" s="25">
        <f t="shared" si="16"/>
        <v>0</v>
      </c>
      <c r="W27" s="25">
        <f t="shared" si="17"/>
        <v>0</v>
      </c>
      <c r="X27" s="25"/>
    </row>
    <row r="28" spans="1:24" s="4" customFormat="1" ht="17.100000000000001" hidden="1" customHeight="1" x14ac:dyDescent="0.3">
      <c r="A28" s="23" t="s">
        <v>136</v>
      </c>
      <c r="B28" s="23" t="s">
        <v>137</v>
      </c>
      <c r="C28" s="123"/>
      <c r="D28" s="123"/>
      <c r="E28" s="123"/>
      <c r="F28" s="122">
        <f t="shared" si="5"/>
        <v>0</v>
      </c>
      <c r="G28" s="135">
        <v>0</v>
      </c>
      <c r="H28" s="135">
        <v>0</v>
      </c>
      <c r="I28" s="123"/>
      <c r="J28" s="123">
        <f t="shared" si="7"/>
        <v>0</v>
      </c>
      <c r="K28" s="135">
        <v>0</v>
      </c>
      <c r="L28" s="135">
        <v>0</v>
      </c>
      <c r="M28" s="135">
        <f t="shared" si="9"/>
        <v>0</v>
      </c>
      <c r="N28" s="135">
        <f t="shared" si="10"/>
        <v>0</v>
      </c>
      <c r="O28" s="135">
        <f t="shared" si="11"/>
        <v>0</v>
      </c>
      <c r="P28" s="135">
        <v>0</v>
      </c>
      <c r="Q28" s="123"/>
      <c r="R28" s="123">
        <f t="shared" si="29"/>
        <v>0</v>
      </c>
      <c r="S28" s="135">
        <v>0</v>
      </c>
      <c r="T28" s="135">
        <v>0</v>
      </c>
      <c r="U28" s="135">
        <f t="shared" si="15"/>
        <v>0</v>
      </c>
      <c r="V28" s="135">
        <f t="shared" si="16"/>
        <v>0</v>
      </c>
      <c r="W28" s="135">
        <f t="shared" si="17"/>
        <v>0</v>
      </c>
      <c r="X28" s="135">
        <v>0</v>
      </c>
    </row>
    <row r="29" spans="1:24" s="4" customFormat="1" ht="17.100000000000001" hidden="1" customHeight="1" x14ac:dyDescent="0.3">
      <c r="A29" s="23" t="s">
        <v>138</v>
      </c>
      <c r="B29" s="23" t="s">
        <v>139</v>
      </c>
      <c r="C29" s="24"/>
      <c r="D29" s="24"/>
      <c r="E29" s="24"/>
      <c r="F29" s="122">
        <f t="shared" si="5"/>
        <v>0</v>
      </c>
      <c r="G29" s="25"/>
      <c r="H29" s="25"/>
      <c r="I29" s="24"/>
      <c r="J29" s="24">
        <f t="shared" si="7"/>
        <v>0</v>
      </c>
      <c r="K29" s="25"/>
      <c r="L29" s="25"/>
      <c r="M29" s="25">
        <f t="shared" si="9"/>
        <v>0</v>
      </c>
      <c r="N29" s="25">
        <f t="shared" si="10"/>
        <v>0</v>
      </c>
      <c r="O29" s="25">
        <f t="shared" si="11"/>
        <v>0</v>
      </c>
      <c r="P29" s="25"/>
      <c r="Q29" s="24"/>
      <c r="R29" s="24">
        <f t="shared" si="29"/>
        <v>0</v>
      </c>
      <c r="S29" s="25"/>
      <c r="T29" s="25"/>
      <c r="U29" s="25">
        <f t="shared" si="15"/>
        <v>0</v>
      </c>
      <c r="V29" s="25">
        <f t="shared" si="16"/>
        <v>0</v>
      </c>
      <c r="W29" s="25">
        <f t="shared" si="17"/>
        <v>0</v>
      </c>
      <c r="X29" s="25"/>
    </row>
    <row r="30" spans="1:24" s="4" customFormat="1" ht="17.100000000000001" hidden="1" customHeight="1" x14ac:dyDescent="0.3">
      <c r="A30" s="23" t="s">
        <v>140</v>
      </c>
      <c r="B30" s="23" t="s">
        <v>141</v>
      </c>
      <c r="C30" s="24"/>
      <c r="D30" s="24"/>
      <c r="E30" s="24"/>
      <c r="F30" s="122">
        <f t="shared" si="5"/>
        <v>0</v>
      </c>
      <c r="G30" s="25"/>
      <c r="H30" s="25"/>
      <c r="I30" s="24"/>
      <c r="J30" s="24">
        <f t="shared" si="7"/>
        <v>0</v>
      </c>
      <c r="K30" s="25"/>
      <c r="L30" s="25"/>
      <c r="M30" s="25">
        <f t="shared" si="9"/>
        <v>0</v>
      </c>
      <c r="N30" s="25">
        <f t="shared" si="10"/>
        <v>0</v>
      </c>
      <c r="O30" s="25">
        <f t="shared" si="11"/>
        <v>0</v>
      </c>
      <c r="P30" s="25"/>
      <c r="Q30" s="24"/>
      <c r="R30" s="24">
        <f t="shared" si="29"/>
        <v>0</v>
      </c>
      <c r="S30" s="25"/>
      <c r="T30" s="25"/>
      <c r="U30" s="25">
        <f t="shared" si="15"/>
        <v>0</v>
      </c>
      <c r="V30" s="25">
        <f t="shared" si="16"/>
        <v>0</v>
      </c>
      <c r="W30" s="25">
        <f t="shared" si="17"/>
        <v>0</v>
      </c>
      <c r="X30" s="25"/>
    </row>
    <row r="31" spans="1:24" s="4" customFormat="1" ht="17.100000000000001" hidden="1" customHeight="1" x14ac:dyDescent="0.3">
      <c r="A31" s="23" t="s">
        <v>1</v>
      </c>
      <c r="B31" s="23" t="s">
        <v>2</v>
      </c>
      <c r="C31" s="24"/>
      <c r="D31" s="24"/>
      <c r="E31" s="24"/>
      <c r="F31" s="122">
        <f t="shared" si="5"/>
        <v>0</v>
      </c>
      <c r="G31" s="25"/>
      <c r="H31" s="25"/>
      <c r="I31" s="24"/>
      <c r="J31" s="24">
        <f t="shared" si="7"/>
        <v>0</v>
      </c>
      <c r="K31" s="25"/>
      <c r="L31" s="25"/>
      <c r="M31" s="25">
        <f t="shared" si="9"/>
        <v>0</v>
      </c>
      <c r="N31" s="25">
        <f t="shared" si="10"/>
        <v>0</v>
      </c>
      <c r="O31" s="25">
        <f t="shared" si="11"/>
        <v>0</v>
      </c>
      <c r="P31" s="25"/>
      <c r="Q31" s="24"/>
      <c r="R31" s="24">
        <f t="shared" si="29"/>
        <v>0</v>
      </c>
      <c r="S31" s="25"/>
      <c r="T31" s="25"/>
      <c r="U31" s="25">
        <f t="shared" si="15"/>
        <v>0</v>
      </c>
      <c r="V31" s="25">
        <f t="shared" si="16"/>
        <v>0</v>
      </c>
      <c r="W31" s="25">
        <f t="shared" si="17"/>
        <v>0</v>
      </c>
      <c r="X31" s="25"/>
    </row>
    <row r="32" spans="1:24" s="4" customFormat="1" ht="17.100000000000001" hidden="1" customHeight="1" x14ac:dyDescent="0.3">
      <c r="A32" s="23" t="s">
        <v>142</v>
      </c>
      <c r="B32" s="23" t="s">
        <v>143</v>
      </c>
      <c r="C32" s="24"/>
      <c r="D32" s="24"/>
      <c r="E32" s="24"/>
      <c r="F32" s="122">
        <f t="shared" si="5"/>
        <v>0</v>
      </c>
      <c r="G32" s="25"/>
      <c r="H32" s="25"/>
      <c r="I32" s="24"/>
      <c r="J32" s="24">
        <f t="shared" si="7"/>
        <v>0</v>
      </c>
      <c r="K32" s="25"/>
      <c r="L32" s="25"/>
      <c r="M32" s="25">
        <f t="shared" si="9"/>
        <v>0</v>
      </c>
      <c r="N32" s="25">
        <f t="shared" si="10"/>
        <v>0</v>
      </c>
      <c r="O32" s="25">
        <f t="shared" si="11"/>
        <v>0</v>
      </c>
      <c r="P32" s="25"/>
      <c r="Q32" s="24"/>
      <c r="R32" s="24">
        <f t="shared" si="29"/>
        <v>0</v>
      </c>
      <c r="S32" s="25"/>
      <c r="T32" s="25"/>
      <c r="U32" s="25">
        <f t="shared" si="15"/>
        <v>0</v>
      </c>
      <c r="V32" s="25">
        <f t="shared" si="16"/>
        <v>0</v>
      </c>
      <c r="W32" s="25">
        <f t="shared" si="17"/>
        <v>0</v>
      </c>
      <c r="X32" s="25"/>
    </row>
    <row r="33" spans="1:24" s="4" customFormat="1" ht="17.100000000000001" hidden="1" customHeight="1" x14ac:dyDescent="0.3">
      <c r="A33" s="23" t="s">
        <v>144</v>
      </c>
      <c r="B33" s="23" t="s">
        <v>145</v>
      </c>
      <c r="C33" s="24"/>
      <c r="D33" s="24"/>
      <c r="E33" s="24"/>
      <c r="F33" s="122">
        <f t="shared" si="5"/>
        <v>0</v>
      </c>
      <c r="G33" s="25"/>
      <c r="H33" s="25"/>
      <c r="I33" s="24"/>
      <c r="J33" s="24">
        <f t="shared" si="7"/>
        <v>0</v>
      </c>
      <c r="K33" s="25"/>
      <c r="L33" s="25"/>
      <c r="M33" s="25">
        <f t="shared" si="9"/>
        <v>0</v>
      </c>
      <c r="N33" s="25">
        <f t="shared" si="10"/>
        <v>0</v>
      </c>
      <c r="O33" s="25">
        <f t="shared" si="11"/>
        <v>0</v>
      </c>
      <c r="P33" s="25"/>
      <c r="Q33" s="24"/>
      <c r="R33" s="24">
        <f t="shared" si="29"/>
        <v>0</v>
      </c>
      <c r="S33" s="25"/>
      <c r="T33" s="25"/>
      <c r="U33" s="25">
        <f t="shared" si="15"/>
        <v>0</v>
      </c>
      <c r="V33" s="25">
        <f t="shared" si="16"/>
        <v>0</v>
      </c>
      <c r="W33" s="25">
        <f t="shared" si="17"/>
        <v>0</v>
      </c>
      <c r="X33" s="25"/>
    </row>
    <row r="34" spans="1:24" s="4" customFormat="1" ht="17.100000000000001" hidden="1" customHeight="1" x14ac:dyDescent="0.3">
      <c r="A34" s="23" t="s">
        <v>146</v>
      </c>
      <c r="B34" s="23" t="s">
        <v>147</v>
      </c>
      <c r="C34" s="24"/>
      <c r="D34" s="24"/>
      <c r="E34" s="24"/>
      <c r="F34" s="122">
        <f t="shared" si="5"/>
        <v>0</v>
      </c>
      <c r="G34" s="25"/>
      <c r="H34" s="25"/>
      <c r="I34" s="24"/>
      <c r="J34" s="24">
        <f t="shared" si="7"/>
        <v>0</v>
      </c>
      <c r="K34" s="25"/>
      <c r="L34" s="25"/>
      <c r="M34" s="25">
        <f t="shared" si="9"/>
        <v>0</v>
      </c>
      <c r="N34" s="25">
        <f t="shared" si="10"/>
        <v>0</v>
      </c>
      <c r="O34" s="25">
        <f t="shared" si="11"/>
        <v>0</v>
      </c>
      <c r="P34" s="25"/>
      <c r="Q34" s="24"/>
      <c r="R34" s="24">
        <f t="shared" si="29"/>
        <v>0</v>
      </c>
      <c r="S34" s="25"/>
      <c r="T34" s="25"/>
      <c r="U34" s="25">
        <f t="shared" si="15"/>
        <v>0</v>
      </c>
      <c r="V34" s="25">
        <f t="shared" si="16"/>
        <v>0</v>
      </c>
      <c r="W34" s="25">
        <f t="shared" si="17"/>
        <v>0</v>
      </c>
      <c r="X34" s="25"/>
    </row>
    <row r="35" spans="1:24" s="4" customFormat="1" ht="17.100000000000001" hidden="1" customHeight="1" x14ac:dyDescent="0.3">
      <c r="A35" s="23" t="s">
        <v>148</v>
      </c>
      <c r="B35" s="23" t="s">
        <v>149</v>
      </c>
      <c r="C35" s="24"/>
      <c r="D35" s="24"/>
      <c r="E35" s="24"/>
      <c r="F35" s="122">
        <f t="shared" si="5"/>
        <v>0</v>
      </c>
      <c r="G35" s="25"/>
      <c r="H35" s="25"/>
      <c r="I35" s="24"/>
      <c r="J35" s="24">
        <f t="shared" si="7"/>
        <v>0</v>
      </c>
      <c r="K35" s="25"/>
      <c r="L35" s="25"/>
      <c r="M35" s="25">
        <f t="shared" si="9"/>
        <v>0</v>
      </c>
      <c r="N35" s="25">
        <f t="shared" si="10"/>
        <v>0</v>
      </c>
      <c r="O35" s="25">
        <f t="shared" si="11"/>
        <v>0</v>
      </c>
      <c r="P35" s="25"/>
      <c r="Q35" s="24"/>
      <c r="R35" s="24">
        <f t="shared" si="29"/>
        <v>0</v>
      </c>
      <c r="S35" s="25"/>
      <c r="T35" s="25"/>
      <c r="U35" s="25">
        <f t="shared" si="15"/>
        <v>0</v>
      </c>
      <c r="V35" s="25">
        <f t="shared" si="16"/>
        <v>0</v>
      </c>
      <c r="W35" s="25">
        <f t="shared" si="17"/>
        <v>0</v>
      </c>
      <c r="X35" s="25"/>
    </row>
    <row r="36" spans="1:24" s="4" customFormat="1" ht="17.100000000000001" hidden="1" customHeight="1" x14ac:dyDescent="0.3">
      <c r="A36" s="23" t="s">
        <v>150</v>
      </c>
      <c r="B36" s="23" t="s">
        <v>151</v>
      </c>
      <c r="C36" s="24"/>
      <c r="D36" s="24"/>
      <c r="E36" s="24"/>
      <c r="F36" s="122">
        <f t="shared" si="5"/>
        <v>0</v>
      </c>
      <c r="G36" s="25"/>
      <c r="H36" s="25"/>
      <c r="I36" s="24"/>
      <c r="J36" s="24">
        <f t="shared" si="7"/>
        <v>0</v>
      </c>
      <c r="K36" s="25"/>
      <c r="L36" s="25"/>
      <c r="M36" s="25">
        <f t="shared" si="9"/>
        <v>0</v>
      </c>
      <c r="N36" s="25">
        <f t="shared" si="10"/>
        <v>0</v>
      </c>
      <c r="O36" s="25">
        <f t="shared" si="11"/>
        <v>0</v>
      </c>
      <c r="P36" s="25"/>
      <c r="Q36" s="24"/>
      <c r="R36" s="24">
        <f t="shared" si="29"/>
        <v>0</v>
      </c>
      <c r="S36" s="25"/>
      <c r="T36" s="25"/>
      <c r="U36" s="25">
        <f t="shared" si="15"/>
        <v>0</v>
      </c>
      <c r="V36" s="25">
        <f t="shared" si="16"/>
        <v>0</v>
      </c>
      <c r="W36" s="25">
        <f t="shared" si="17"/>
        <v>0</v>
      </c>
      <c r="X36" s="25"/>
    </row>
    <row r="37" spans="1:24" s="4" customFormat="1" ht="17.100000000000001" hidden="1" customHeight="1" x14ac:dyDescent="0.3">
      <c r="A37" s="23" t="s">
        <v>152</v>
      </c>
      <c r="B37" s="23" t="s">
        <v>153</v>
      </c>
      <c r="C37" s="24"/>
      <c r="D37" s="24"/>
      <c r="E37" s="24"/>
      <c r="F37" s="122">
        <f t="shared" si="5"/>
        <v>0</v>
      </c>
      <c r="G37" s="24">
        <f t="shared" ref="G37:H37" si="30">SUM(G38:G40)</f>
        <v>0</v>
      </c>
      <c r="H37" s="24">
        <f t="shared" si="30"/>
        <v>0</v>
      </c>
      <c r="I37" s="24"/>
      <c r="J37" s="24">
        <f t="shared" si="7"/>
        <v>0</v>
      </c>
      <c r="K37" s="24">
        <f t="shared" ref="K37:L37" si="31">SUM(K38:K40)</f>
        <v>0</v>
      </c>
      <c r="L37" s="24">
        <f t="shared" si="31"/>
        <v>0</v>
      </c>
      <c r="M37" s="24">
        <f t="shared" si="9"/>
        <v>0</v>
      </c>
      <c r="N37" s="24">
        <f t="shared" si="10"/>
        <v>0</v>
      </c>
      <c r="O37" s="24">
        <f t="shared" si="11"/>
        <v>0</v>
      </c>
      <c r="P37" s="24">
        <f t="shared" ref="P37" si="32">SUM(P38:P40)</f>
        <v>0</v>
      </c>
      <c r="Q37" s="24"/>
      <c r="R37" s="24">
        <f t="shared" si="29"/>
        <v>0</v>
      </c>
      <c r="S37" s="24">
        <f t="shared" ref="S37:T37" si="33">SUM(S38:S40)</f>
        <v>0</v>
      </c>
      <c r="T37" s="24">
        <f t="shared" si="33"/>
        <v>0</v>
      </c>
      <c r="U37" s="24">
        <f t="shared" si="15"/>
        <v>0</v>
      </c>
      <c r="V37" s="24">
        <f t="shared" si="16"/>
        <v>0</v>
      </c>
      <c r="W37" s="24">
        <f t="shared" si="17"/>
        <v>0</v>
      </c>
      <c r="X37" s="24">
        <f t="shared" ref="X37" si="34">SUM(X38:X40)</f>
        <v>0</v>
      </c>
    </row>
    <row r="38" spans="1:24" s="4" customFormat="1" ht="17.100000000000001" hidden="1" customHeight="1" x14ac:dyDescent="0.3">
      <c r="A38" s="23" t="s">
        <v>154</v>
      </c>
      <c r="B38" s="23" t="s">
        <v>155</v>
      </c>
      <c r="C38" s="133"/>
      <c r="D38" s="133"/>
      <c r="E38" s="133"/>
      <c r="F38" s="122">
        <f t="shared" si="5"/>
        <v>0</v>
      </c>
      <c r="G38" s="133"/>
      <c r="H38" s="133"/>
      <c r="I38" s="133"/>
      <c r="J38" s="133">
        <f t="shared" si="7"/>
        <v>0</v>
      </c>
      <c r="K38" s="133"/>
      <c r="L38" s="133"/>
      <c r="M38" s="133">
        <f t="shared" si="9"/>
        <v>0</v>
      </c>
      <c r="N38" s="133">
        <f t="shared" si="10"/>
        <v>0</v>
      </c>
      <c r="O38" s="133">
        <f t="shared" si="11"/>
        <v>0</v>
      </c>
      <c r="P38" s="133"/>
      <c r="Q38" s="133"/>
      <c r="R38" s="133">
        <f t="shared" si="29"/>
        <v>0</v>
      </c>
      <c r="S38" s="133"/>
      <c r="T38" s="133"/>
      <c r="U38" s="133">
        <f t="shared" si="15"/>
        <v>0</v>
      </c>
      <c r="V38" s="133">
        <f t="shared" si="16"/>
        <v>0</v>
      </c>
      <c r="W38" s="133">
        <f t="shared" si="17"/>
        <v>0</v>
      </c>
      <c r="X38" s="133"/>
    </row>
    <row r="39" spans="1:24" s="4" customFormat="1" ht="17.100000000000001" hidden="1" customHeight="1" x14ac:dyDescent="0.3">
      <c r="A39" s="23" t="s">
        <v>156</v>
      </c>
      <c r="B39" s="23" t="s">
        <v>157</v>
      </c>
      <c r="C39" s="24"/>
      <c r="D39" s="133"/>
      <c r="E39" s="24"/>
      <c r="F39" s="122">
        <f t="shared" si="5"/>
        <v>0</v>
      </c>
      <c r="G39" s="25"/>
      <c r="H39" s="25"/>
      <c r="I39" s="24"/>
      <c r="J39" s="24">
        <f t="shared" si="7"/>
        <v>0</v>
      </c>
      <c r="K39" s="25"/>
      <c r="L39" s="25"/>
      <c r="M39" s="25">
        <f t="shared" si="9"/>
        <v>0</v>
      </c>
      <c r="N39" s="25">
        <f t="shared" si="10"/>
        <v>0</v>
      </c>
      <c r="O39" s="25">
        <f t="shared" si="11"/>
        <v>0</v>
      </c>
      <c r="P39" s="25"/>
      <c r="Q39" s="24"/>
      <c r="R39" s="24">
        <f t="shared" si="29"/>
        <v>0</v>
      </c>
      <c r="S39" s="25"/>
      <c r="T39" s="25"/>
      <c r="U39" s="25">
        <f t="shared" si="15"/>
        <v>0</v>
      </c>
      <c r="V39" s="25">
        <f t="shared" si="16"/>
        <v>0</v>
      </c>
      <c r="W39" s="25">
        <f t="shared" si="17"/>
        <v>0</v>
      </c>
      <c r="X39" s="25"/>
    </row>
    <row r="40" spans="1:24" s="4" customFormat="1" ht="17.100000000000001" hidden="1" customHeight="1" x14ac:dyDescent="0.3">
      <c r="A40" s="23" t="s">
        <v>158</v>
      </c>
      <c r="B40" s="23" t="s">
        <v>159</v>
      </c>
      <c r="C40" s="24"/>
      <c r="D40" s="133"/>
      <c r="E40" s="133"/>
      <c r="F40" s="122">
        <f t="shared" si="5"/>
        <v>0</v>
      </c>
      <c r="G40" s="133"/>
      <c r="H40" s="133"/>
      <c r="I40" s="133"/>
      <c r="J40" s="133">
        <f t="shared" si="7"/>
        <v>0</v>
      </c>
      <c r="K40" s="133"/>
      <c r="L40" s="133"/>
      <c r="M40" s="133">
        <f t="shared" si="9"/>
        <v>0</v>
      </c>
      <c r="N40" s="133">
        <f t="shared" si="10"/>
        <v>0</v>
      </c>
      <c r="O40" s="133">
        <f t="shared" si="11"/>
        <v>0</v>
      </c>
      <c r="P40" s="133"/>
      <c r="Q40" s="133"/>
      <c r="R40" s="133">
        <f t="shared" si="29"/>
        <v>0</v>
      </c>
      <c r="S40" s="133"/>
      <c r="T40" s="133"/>
      <c r="U40" s="133">
        <f t="shared" si="15"/>
        <v>0</v>
      </c>
      <c r="V40" s="133">
        <f t="shared" si="16"/>
        <v>0</v>
      </c>
      <c r="W40" s="133">
        <f t="shared" si="17"/>
        <v>0</v>
      </c>
      <c r="X40" s="133"/>
    </row>
    <row r="41" spans="1:24" s="3" customFormat="1" ht="17.100000000000001" customHeight="1" x14ac:dyDescent="0.3">
      <c r="A41" s="26" t="s">
        <v>160</v>
      </c>
      <c r="B41" s="26" t="s">
        <v>161</v>
      </c>
      <c r="C41" s="122">
        <f>+'2b. Önkormányzat kiadások'!C41</f>
        <v>9500000</v>
      </c>
      <c r="D41" s="122">
        <f>+'2b. Önkormányzat kiadások'!D41</f>
        <v>4724485</v>
      </c>
      <c r="E41" s="122">
        <f>+'2b. Önkormányzat kiadások'!E41</f>
        <v>8400000</v>
      </c>
      <c r="F41" s="122">
        <f t="shared" si="5"/>
        <v>8400000</v>
      </c>
      <c r="G41" s="122">
        <f>+'2b. Önkormányzat kiadások'!G41</f>
        <v>0</v>
      </c>
      <c r="H41" s="134">
        <f t="shared" ref="H41" si="35">SUM(H42:H43)</f>
        <v>0</v>
      </c>
      <c r="I41" s="122">
        <f>+'2b. Önkormányzat kiadások'!I41</f>
        <v>0</v>
      </c>
      <c r="J41" s="122">
        <f t="shared" si="7"/>
        <v>0</v>
      </c>
      <c r="K41" s="122"/>
      <c r="L41" s="134">
        <f t="shared" ref="L41" si="36">SUM(L42:L43)</f>
        <v>0</v>
      </c>
      <c r="M41" s="134">
        <f t="shared" si="9"/>
        <v>8400000</v>
      </c>
      <c r="N41" s="134">
        <f t="shared" si="10"/>
        <v>8400000</v>
      </c>
      <c r="O41" s="134">
        <f t="shared" si="11"/>
        <v>0</v>
      </c>
      <c r="P41" s="134">
        <f t="shared" ref="P41" si="37">SUM(P42:P43)</f>
        <v>0</v>
      </c>
      <c r="Q41" s="122">
        <f>+'2b. Önkormányzat kiadások'!Q41</f>
        <v>0</v>
      </c>
      <c r="R41" s="122">
        <f t="shared" si="29"/>
        <v>0</v>
      </c>
      <c r="S41" s="122"/>
      <c r="T41" s="134">
        <f t="shared" ref="T41" si="38">SUM(T42:T43)</f>
        <v>0</v>
      </c>
      <c r="U41" s="134">
        <f t="shared" si="15"/>
        <v>8400000</v>
      </c>
      <c r="V41" s="134">
        <f t="shared" si="16"/>
        <v>8400000</v>
      </c>
      <c r="W41" s="134">
        <f t="shared" si="17"/>
        <v>0</v>
      </c>
      <c r="X41" s="134">
        <f t="shared" ref="X41" si="39">SUM(X42:X43)</f>
        <v>0</v>
      </c>
    </row>
    <row r="42" spans="1:24" s="3" customFormat="1" ht="17.100000000000001" hidden="1" customHeight="1" x14ac:dyDescent="0.3">
      <c r="A42" s="23" t="s">
        <v>162</v>
      </c>
      <c r="B42" s="23" t="s">
        <v>163</v>
      </c>
      <c r="C42" s="24"/>
      <c r="D42" s="24"/>
      <c r="E42" s="24"/>
      <c r="F42" s="122">
        <f t="shared" si="5"/>
        <v>0</v>
      </c>
      <c r="G42" s="25"/>
      <c r="H42" s="25"/>
      <c r="I42" s="24"/>
      <c r="J42" s="24">
        <f t="shared" si="7"/>
        <v>0</v>
      </c>
      <c r="K42" s="25"/>
      <c r="L42" s="25"/>
      <c r="M42" s="25">
        <f t="shared" si="9"/>
        <v>0</v>
      </c>
      <c r="N42" s="25">
        <f t="shared" si="10"/>
        <v>0</v>
      </c>
      <c r="O42" s="25">
        <f t="shared" si="11"/>
        <v>0</v>
      </c>
      <c r="P42" s="25"/>
      <c r="Q42" s="24"/>
      <c r="R42" s="24">
        <f t="shared" si="29"/>
        <v>0</v>
      </c>
      <c r="S42" s="25"/>
      <c r="T42" s="25"/>
      <c r="U42" s="25">
        <f t="shared" si="15"/>
        <v>0</v>
      </c>
      <c r="V42" s="25">
        <f t="shared" si="16"/>
        <v>0</v>
      </c>
      <c r="W42" s="25">
        <f t="shared" si="17"/>
        <v>0</v>
      </c>
      <c r="X42" s="25"/>
    </row>
    <row r="43" spans="1:24" s="3" customFormat="1" ht="17.100000000000001" hidden="1" customHeight="1" x14ac:dyDescent="0.3">
      <c r="A43" s="23" t="s">
        <v>164</v>
      </c>
      <c r="B43" s="23" t="s">
        <v>165</v>
      </c>
      <c r="C43" s="24"/>
      <c r="D43" s="24"/>
      <c r="E43" s="24"/>
      <c r="F43" s="122">
        <f t="shared" si="5"/>
        <v>0</v>
      </c>
      <c r="G43" s="25"/>
      <c r="H43" s="25"/>
      <c r="I43" s="24"/>
      <c r="J43" s="24">
        <f t="shared" si="7"/>
        <v>0</v>
      </c>
      <c r="K43" s="25"/>
      <c r="L43" s="25"/>
      <c r="M43" s="25">
        <f t="shared" si="9"/>
        <v>0</v>
      </c>
      <c r="N43" s="25">
        <f t="shared" si="10"/>
        <v>0</v>
      </c>
      <c r="O43" s="25">
        <f t="shared" si="11"/>
        <v>0</v>
      </c>
      <c r="P43" s="25"/>
      <c r="Q43" s="24"/>
      <c r="R43" s="24">
        <f t="shared" si="29"/>
        <v>0</v>
      </c>
      <c r="S43" s="25"/>
      <c r="T43" s="25"/>
      <c r="U43" s="25">
        <f t="shared" si="15"/>
        <v>0</v>
      </c>
      <c r="V43" s="25">
        <f t="shared" si="16"/>
        <v>0</v>
      </c>
      <c r="W43" s="25">
        <f t="shared" si="17"/>
        <v>0</v>
      </c>
      <c r="X43" s="25"/>
    </row>
    <row r="44" spans="1:24" s="3" customFormat="1" ht="17.100000000000001" customHeight="1" x14ac:dyDescent="0.3">
      <c r="A44" s="26" t="s">
        <v>166</v>
      </c>
      <c r="B44" s="26" t="s">
        <v>167</v>
      </c>
      <c r="C44" s="122">
        <f>+'2b. Önkormányzat kiadások'!C44+'3a. Hivatal'!C40+'4. Művelődési Ház'!C40</f>
        <v>262242194</v>
      </c>
      <c r="D44" s="122">
        <f>+'2b. Önkormányzat kiadások'!D44+'3a. Hivatal'!D40+'4. Művelődési Ház'!D40</f>
        <v>160006258</v>
      </c>
      <c r="E44" s="122">
        <f>+'2b. Önkormányzat kiadások'!E44+'3a. Hivatal'!E40+'4. Művelődési Ház'!E40</f>
        <v>181212413</v>
      </c>
      <c r="F44" s="122">
        <f t="shared" si="5"/>
        <v>181212413</v>
      </c>
      <c r="G44" s="122">
        <f>+'2b. Önkormányzat kiadások'!G44+'3a. Hivatal'!G40+'4. Művelődési Ház'!G40</f>
        <v>0</v>
      </c>
      <c r="H44" s="134">
        <f t="shared" ref="H44" si="40">SUM(H45:H49)</f>
        <v>0</v>
      </c>
      <c r="I44" s="122">
        <f>+'2b. Önkormányzat kiadások'!I44+'3a. Hivatal'!I40+'4. Művelődési Ház'!I40</f>
        <v>23129617</v>
      </c>
      <c r="J44" s="122">
        <f t="shared" si="7"/>
        <v>23129617</v>
      </c>
      <c r="K44" s="122"/>
      <c r="L44" s="134">
        <f t="shared" ref="L44" si="41">SUM(L45:L49)</f>
        <v>0</v>
      </c>
      <c r="M44" s="134">
        <f t="shared" si="9"/>
        <v>204342030</v>
      </c>
      <c r="N44" s="134">
        <f t="shared" si="10"/>
        <v>204342030</v>
      </c>
      <c r="O44" s="134">
        <f t="shared" si="11"/>
        <v>0</v>
      </c>
      <c r="P44" s="134">
        <f t="shared" ref="P44" si="42">SUM(P45:P49)</f>
        <v>0</v>
      </c>
      <c r="Q44" s="122">
        <f>+'2b. Önkormányzat kiadások'!Q44+'3a. Hivatal'!N40+'4. Művelődési Ház'!N40</f>
        <v>-274360</v>
      </c>
      <c r="R44" s="122">
        <f t="shared" si="29"/>
        <v>-274360</v>
      </c>
      <c r="S44" s="122"/>
      <c r="T44" s="134">
        <f t="shared" ref="T44" si="43">SUM(T45:T49)</f>
        <v>0</v>
      </c>
      <c r="U44" s="134">
        <f t="shared" si="15"/>
        <v>204067670</v>
      </c>
      <c r="V44" s="134">
        <f t="shared" si="16"/>
        <v>204067670</v>
      </c>
      <c r="W44" s="134">
        <f t="shared" si="17"/>
        <v>0</v>
      </c>
      <c r="X44" s="134">
        <f t="shared" ref="X44" si="44">SUM(X45:X49)</f>
        <v>0</v>
      </c>
    </row>
    <row r="45" spans="1:24" s="3" customFormat="1" ht="17.100000000000001" hidden="1" customHeight="1" x14ac:dyDescent="0.3">
      <c r="A45" s="23" t="s">
        <v>168</v>
      </c>
      <c r="B45" s="23" t="s">
        <v>169</v>
      </c>
      <c r="C45" s="24"/>
      <c r="D45" s="24"/>
      <c r="E45" s="24"/>
      <c r="F45" s="24"/>
      <c r="G45" s="25"/>
      <c r="H45" s="25"/>
      <c r="I45" s="24"/>
      <c r="J45" s="24">
        <f t="shared" si="7"/>
        <v>0</v>
      </c>
      <c r="K45" s="25"/>
      <c r="L45" s="25"/>
      <c r="M45" s="25">
        <f t="shared" si="9"/>
        <v>0</v>
      </c>
      <c r="N45" s="25">
        <f t="shared" si="10"/>
        <v>0</v>
      </c>
      <c r="O45" s="25">
        <f t="shared" si="11"/>
        <v>0</v>
      </c>
      <c r="P45" s="25"/>
      <c r="Q45" s="24"/>
      <c r="R45" s="24">
        <f t="shared" si="29"/>
        <v>0</v>
      </c>
      <c r="S45" s="25"/>
      <c r="T45" s="25"/>
      <c r="U45" s="25">
        <f t="shared" si="15"/>
        <v>0</v>
      </c>
      <c r="V45" s="25">
        <f t="shared" si="16"/>
        <v>0</v>
      </c>
      <c r="W45" s="25">
        <f t="shared" si="17"/>
        <v>0</v>
      </c>
      <c r="X45" s="25"/>
    </row>
    <row r="46" spans="1:24" s="3" customFormat="1" ht="17.100000000000001" hidden="1" customHeight="1" x14ac:dyDescent="0.3">
      <c r="A46" s="23" t="s">
        <v>170</v>
      </c>
      <c r="B46" s="23" t="s">
        <v>171</v>
      </c>
      <c r="C46" s="24"/>
      <c r="D46" s="24"/>
      <c r="E46" s="24"/>
      <c r="F46" s="24"/>
      <c r="G46" s="25"/>
      <c r="H46" s="25"/>
      <c r="I46" s="24"/>
      <c r="J46" s="24">
        <f t="shared" si="7"/>
        <v>0</v>
      </c>
      <c r="K46" s="25"/>
      <c r="L46" s="25"/>
      <c r="M46" s="25">
        <f t="shared" si="9"/>
        <v>0</v>
      </c>
      <c r="N46" s="25">
        <f t="shared" si="10"/>
        <v>0</v>
      </c>
      <c r="O46" s="25">
        <f t="shared" si="11"/>
        <v>0</v>
      </c>
      <c r="P46" s="25"/>
      <c r="Q46" s="24"/>
      <c r="R46" s="24">
        <f t="shared" si="29"/>
        <v>0</v>
      </c>
      <c r="S46" s="25"/>
      <c r="T46" s="25"/>
      <c r="U46" s="25">
        <f t="shared" si="15"/>
        <v>0</v>
      </c>
      <c r="V46" s="25">
        <f t="shared" si="16"/>
        <v>0</v>
      </c>
      <c r="W46" s="25">
        <f t="shared" si="17"/>
        <v>0</v>
      </c>
      <c r="X46" s="25"/>
    </row>
    <row r="47" spans="1:24" s="3" customFormat="1" ht="17.100000000000001" hidden="1" customHeight="1" x14ac:dyDescent="0.3">
      <c r="A47" s="23" t="s">
        <v>172</v>
      </c>
      <c r="B47" s="23" t="s">
        <v>173</v>
      </c>
      <c r="C47" s="24"/>
      <c r="D47" s="24"/>
      <c r="E47" s="24"/>
      <c r="F47" s="24"/>
      <c r="G47" s="25"/>
      <c r="H47" s="25"/>
      <c r="I47" s="24"/>
      <c r="J47" s="24">
        <f t="shared" si="7"/>
        <v>0</v>
      </c>
      <c r="K47" s="25"/>
      <c r="L47" s="25"/>
      <c r="M47" s="25">
        <f t="shared" si="9"/>
        <v>0</v>
      </c>
      <c r="N47" s="25">
        <f t="shared" si="10"/>
        <v>0</v>
      </c>
      <c r="O47" s="25">
        <f t="shared" si="11"/>
        <v>0</v>
      </c>
      <c r="P47" s="25"/>
      <c r="Q47" s="24"/>
      <c r="R47" s="24">
        <f t="shared" si="29"/>
        <v>0</v>
      </c>
      <c r="S47" s="25"/>
      <c r="T47" s="25"/>
      <c r="U47" s="25">
        <f t="shared" si="15"/>
        <v>0</v>
      </c>
      <c r="V47" s="25">
        <f t="shared" si="16"/>
        <v>0</v>
      </c>
      <c r="W47" s="25">
        <f t="shared" si="17"/>
        <v>0</v>
      </c>
      <c r="X47" s="25"/>
    </row>
    <row r="48" spans="1:24" s="3" customFormat="1" ht="17.100000000000001" hidden="1" customHeight="1" x14ac:dyDescent="0.3">
      <c r="A48" s="23" t="s">
        <v>174</v>
      </c>
      <c r="B48" s="23" t="s">
        <v>175</v>
      </c>
      <c r="C48" s="24"/>
      <c r="D48" s="24"/>
      <c r="E48" s="24"/>
      <c r="F48" s="24"/>
      <c r="G48" s="25"/>
      <c r="H48" s="25"/>
      <c r="I48" s="24"/>
      <c r="J48" s="24">
        <f t="shared" si="7"/>
        <v>0</v>
      </c>
      <c r="K48" s="25"/>
      <c r="L48" s="25"/>
      <c r="M48" s="25">
        <f t="shared" si="9"/>
        <v>0</v>
      </c>
      <c r="N48" s="25">
        <f t="shared" si="10"/>
        <v>0</v>
      </c>
      <c r="O48" s="25">
        <f t="shared" si="11"/>
        <v>0</v>
      </c>
      <c r="P48" s="25"/>
      <c r="Q48" s="24"/>
      <c r="R48" s="24">
        <f t="shared" si="29"/>
        <v>0</v>
      </c>
      <c r="S48" s="25"/>
      <c r="T48" s="25"/>
      <c r="U48" s="25">
        <f t="shared" si="15"/>
        <v>0</v>
      </c>
      <c r="V48" s="25">
        <f t="shared" si="16"/>
        <v>0</v>
      </c>
      <c r="W48" s="25">
        <f t="shared" si="17"/>
        <v>0</v>
      </c>
      <c r="X48" s="25"/>
    </row>
    <row r="49" spans="1:24" s="3" customFormat="1" ht="17.100000000000001" hidden="1" customHeight="1" x14ac:dyDescent="0.3">
      <c r="A49" s="23" t="s">
        <v>176</v>
      </c>
      <c r="B49" s="23" t="s">
        <v>177</v>
      </c>
      <c r="C49" s="24"/>
      <c r="D49" s="24"/>
      <c r="E49" s="24"/>
      <c r="F49" s="24"/>
      <c r="G49" s="25"/>
      <c r="H49" s="25"/>
      <c r="I49" s="24"/>
      <c r="J49" s="24">
        <f t="shared" si="7"/>
        <v>0</v>
      </c>
      <c r="K49" s="25"/>
      <c r="L49" s="25"/>
      <c r="M49" s="25">
        <f t="shared" si="9"/>
        <v>0</v>
      </c>
      <c r="N49" s="25">
        <f t="shared" si="10"/>
        <v>0</v>
      </c>
      <c r="O49" s="25">
        <f t="shared" si="11"/>
        <v>0</v>
      </c>
      <c r="P49" s="25"/>
      <c r="Q49" s="24"/>
      <c r="R49" s="24">
        <f t="shared" si="29"/>
        <v>0</v>
      </c>
      <c r="S49" s="25"/>
      <c r="T49" s="25"/>
      <c r="U49" s="25">
        <f t="shared" si="15"/>
        <v>0</v>
      </c>
      <c r="V49" s="25">
        <f t="shared" si="16"/>
        <v>0</v>
      </c>
      <c r="W49" s="25">
        <f t="shared" si="17"/>
        <v>0</v>
      </c>
      <c r="X49" s="25"/>
    </row>
    <row r="50" spans="1:24" s="3" customFormat="1" ht="17.100000000000001" customHeight="1" x14ac:dyDescent="0.3">
      <c r="A50" s="23"/>
      <c r="B50" s="23" t="s">
        <v>436</v>
      </c>
      <c r="C50" s="24">
        <f>+'2b. Önkormányzat kiadások'!C49</f>
        <v>82175294</v>
      </c>
      <c r="D50" s="24">
        <f>+'2b. Önkormányzat kiadások'!D49</f>
        <v>0</v>
      </c>
      <c r="E50" s="24">
        <f>+'2b. Önkormányzat kiadások'!E49</f>
        <v>32624413</v>
      </c>
      <c r="F50" s="24">
        <f>+'2b. Önkormányzat kiadások'!F49</f>
        <v>32624413</v>
      </c>
      <c r="G50" s="25">
        <v>0</v>
      </c>
      <c r="H50" s="25">
        <v>0</v>
      </c>
      <c r="I50" s="24">
        <f>+'2b. Önkormányzat kiadások'!I49</f>
        <v>-15531832</v>
      </c>
      <c r="J50" s="24">
        <f t="shared" si="7"/>
        <v>-15531832</v>
      </c>
      <c r="K50" s="25"/>
      <c r="L50" s="25">
        <v>0</v>
      </c>
      <c r="M50" s="25">
        <f t="shared" si="9"/>
        <v>17092581</v>
      </c>
      <c r="N50" s="25">
        <f t="shared" si="10"/>
        <v>17092581</v>
      </c>
      <c r="O50" s="25">
        <f t="shared" si="11"/>
        <v>0</v>
      </c>
      <c r="P50" s="25">
        <v>0</v>
      </c>
      <c r="Q50" s="24">
        <f>+'2b. Önkormányzat kiadások'!Q49</f>
        <v>-5740360</v>
      </c>
      <c r="R50" s="24">
        <f t="shared" si="29"/>
        <v>-5740360</v>
      </c>
      <c r="S50" s="25"/>
      <c r="T50" s="25">
        <v>0</v>
      </c>
      <c r="U50" s="25">
        <f t="shared" si="15"/>
        <v>11352221</v>
      </c>
      <c r="V50" s="25">
        <f t="shared" si="16"/>
        <v>11352221</v>
      </c>
      <c r="W50" s="25">
        <f t="shared" si="17"/>
        <v>0</v>
      </c>
      <c r="X50" s="25">
        <v>0</v>
      </c>
    </row>
    <row r="51" spans="1:24" s="3" customFormat="1" ht="17.100000000000001" customHeight="1" x14ac:dyDescent="0.3">
      <c r="A51" s="26" t="s">
        <v>178</v>
      </c>
      <c r="B51" s="26" t="s">
        <v>179</v>
      </c>
      <c r="C51" s="122">
        <f>+'2b. Önkormányzat kiadások'!C50+'3a. Hivatal'!C42+'4. Művelődési Ház'!C42</f>
        <v>527623520</v>
      </c>
      <c r="D51" s="122">
        <f>+'2b. Önkormányzat kiadások'!D50+'3a. Hivatal'!D42+'4. Művelődési Ház'!D42</f>
        <v>203568560</v>
      </c>
      <c r="E51" s="122">
        <f>+'2b. Önkormányzat kiadások'!E50+'3a. Hivatal'!E42+'4. Művelődési Ház'!E42</f>
        <v>354841000</v>
      </c>
      <c r="F51" s="122">
        <f>+E51-G51</f>
        <v>333632000</v>
      </c>
      <c r="G51" s="122">
        <f>+'2b. Önkormányzat kiadások'!G50+'3a. Hivatal'!G42+'4. Művelődési Ház'!G42</f>
        <v>21209000</v>
      </c>
      <c r="H51" s="122">
        <f t="shared" ref="H51" si="45">SUM(H52:H56)</f>
        <v>0</v>
      </c>
      <c r="I51" s="122">
        <f>+'2b. Önkormányzat kiadások'!I50+'3a. Hivatal'!I42+'4. Művelődési Ház'!I42</f>
        <v>51054691</v>
      </c>
      <c r="J51" s="122">
        <f t="shared" si="7"/>
        <v>51054691</v>
      </c>
      <c r="K51" s="122"/>
      <c r="L51" s="122">
        <f t="shared" ref="L51" si="46">SUM(L52:L56)</f>
        <v>0</v>
      </c>
      <c r="M51" s="122">
        <f t="shared" si="9"/>
        <v>405895691</v>
      </c>
      <c r="N51" s="122">
        <f t="shared" si="10"/>
        <v>384686691</v>
      </c>
      <c r="O51" s="122">
        <f t="shared" si="11"/>
        <v>21209000</v>
      </c>
      <c r="P51" s="122">
        <f t="shared" ref="P51" si="47">SUM(P52:P56)</f>
        <v>0</v>
      </c>
      <c r="Q51" s="122">
        <f>+'2b. Önkormányzat kiadások'!Q50+'3a. Hivatal'!N42+'4. Művelődési Ház'!N42</f>
        <v>29525000</v>
      </c>
      <c r="R51" s="122">
        <f t="shared" si="29"/>
        <v>29525000</v>
      </c>
      <c r="S51" s="122"/>
      <c r="T51" s="122">
        <f t="shared" ref="T51" si="48">SUM(T52:T56)</f>
        <v>0</v>
      </c>
      <c r="U51" s="122">
        <f t="shared" si="15"/>
        <v>435420691</v>
      </c>
      <c r="V51" s="122">
        <f t="shared" si="16"/>
        <v>414211691</v>
      </c>
      <c r="W51" s="122">
        <f t="shared" si="17"/>
        <v>21209000</v>
      </c>
      <c r="X51" s="122">
        <f t="shared" ref="X51" si="49">SUM(X52:X56)</f>
        <v>0</v>
      </c>
    </row>
    <row r="52" spans="1:24" s="3" customFormat="1" ht="17.100000000000001" hidden="1" customHeight="1" x14ac:dyDescent="0.3">
      <c r="A52" s="23" t="s">
        <v>3</v>
      </c>
      <c r="B52" s="23" t="s">
        <v>4</v>
      </c>
      <c r="C52" s="123"/>
      <c r="D52" s="123"/>
      <c r="E52" s="123"/>
      <c r="F52" s="122">
        <f t="shared" ref="F52:F63" si="50">+E52-G52</f>
        <v>0</v>
      </c>
      <c r="G52" s="135"/>
      <c r="H52" s="135"/>
      <c r="I52" s="123"/>
      <c r="J52" s="123">
        <f t="shared" si="7"/>
        <v>0</v>
      </c>
      <c r="K52" s="135"/>
      <c r="L52" s="135"/>
      <c r="M52" s="135">
        <f t="shared" si="9"/>
        <v>0</v>
      </c>
      <c r="N52" s="135">
        <f t="shared" si="10"/>
        <v>0</v>
      </c>
      <c r="O52" s="135">
        <f t="shared" si="11"/>
        <v>0</v>
      </c>
      <c r="P52" s="135"/>
      <c r="Q52" s="123"/>
      <c r="R52" s="123">
        <f t="shared" si="29"/>
        <v>0</v>
      </c>
      <c r="S52" s="135"/>
      <c r="T52" s="135"/>
      <c r="U52" s="135">
        <f t="shared" si="15"/>
        <v>0</v>
      </c>
      <c r="V52" s="135">
        <f t="shared" si="16"/>
        <v>0</v>
      </c>
      <c r="W52" s="135">
        <f t="shared" si="17"/>
        <v>0</v>
      </c>
      <c r="X52" s="135"/>
    </row>
    <row r="53" spans="1:24" s="3" customFormat="1" ht="17.100000000000001" hidden="1" customHeight="1" x14ac:dyDescent="0.3">
      <c r="A53" s="23" t="s">
        <v>180</v>
      </c>
      <c r="B53" s="23" t="s">
        <v>181</v>
      </c>
      <c r="C53" s="24"/>
      <c r="D53" s="24"/>
      <c r="E53" s="24"/>
      <c r="F53" s="122">
        <f t="shared" si="50"/>
        <v>0</v>
      </c>
      <c r="G53" s="25"/>
      <c r="H53" s="25"/>
      <c r="I53" s="24"/>
      <c r="J53" s="24">
        <f t="shared" si="7"/>
        <v>0</v>
      </c>
      <c r="K53" s="25"/>
      <c r="L53" s="25"/>
      <c r="M53" s="25">
        <f t="shared" si="9"/>
        <v>0</v>
      </c>
      <c r="N53" s="25">
        <f t="shared" si="10"/>
        <v>0</v>
      </c>
      <c r="O53" s="25">
        <f t="shared" si="11"/>
        <v>0</v>
      </c>
      <c r="P53" s="25"/>
      <c r="Q53" s="24"/>
      <c r="R53" s="24">
        <f t="shared" si="29"/>
        <v>0</v>
      </c>
      <c r="S53" s="25"/>
      <c r="T53" s="25"/>
      <c r="U53" s="25">
        <f t="shared" si="15"/>
        <v>0</v>
      </c>
      <c r="V53" s="25">
        <f t="shared" si="16"/>
        <v>0</v>
      </c>
      <c r="W53" s="25">
        <f t="shared" si="17"/>
        <v>0</v>
      </c>
      <c r="X53" s="25"/>
    </row>
    <row r="54" spans="1:24" s="3" customFormat="1" ht="17.100000000000001" hidden="1" customHeight="1" x14ac:dyDescent="0.3">
      <c r="A54" s="23" t="s">
        <v>430</v>
      </c>
      <c r="B54" s="23" t="s">
        <v>431</v>
      </c>
      <c r="C54" s="24"/>
      <c r="D54" s="24"/>
      <c r="E54" s="24"/>
      <c r="F54" s="122">
        <f t="shared" si="50"/>
        <v>0</v>
      </c>
      <c r="G54" s="25"/>
      <c r="H54" s="25"/>
      <c r="I54" s="24"/>
      <c r="J54" s="24">
        <f t="shared" si="7"/>
        <v>0</v>
      </c>
      <c r="K54" s="25"/>
      <c r="L54" s="25"/>
      <c r="M54" s="25">
        <f t="shared" si="9"/>
        <v>0</v>
      </c>
      <c r="N54" s="25">
        <f t="shared" si="10"/>
        <v>0</v>
      </c>
      <c r="O54" s="25">
        <f t="shared" si="11"/>
        <v>0</v>
      </c>
      <c r="P54" s="25"/>
      <c r="Q54" s="24"/>
      <c r="R54" s="24">
        <f t="shared" si="29"/>
        <v>0</v>
      </c>
      <c r="S54" s="25"/>
      <c r="T54" s="25"/>
      <c r="U54" s="25">
        <f t="shared" si="15"/>
        <v>0</v>
      </c>
      <c r="V54" s="25">
        <f t="shared" si="16"/>
        <v>0</v>
      </c>
      <c r="W54" s="25">
        <f t="shared" si="17"/>
        <v>0</v>
      </c>
      <c r="X54" s="25"/>
    </row>
    <row r="55" spans="1:24" s="4" customFormat="1" ht="17.100000000000001" hidden="1" customHeight="1" x14ac:dyDescent="0.3">
      <c r="A55" s="23" t="s">
        <v>182</v>
      </c>
      <c r="B55" s="23" t="s">
        <v>183</v>
      </c>
      <c r="C55" s="24"/>
      <c r="D55" s="24"/>
      <c r="E55" s="24"/>
      <c r="F55" s="122">
        <f t="shared" si="50"/>
        <v>0</v>
      </c>
      <c r="G55" s="25"/>
      <c r="H55" s="25"/>
      <c r="I55" s="24"/>
      <c r="J55" s="24">
        <f t="shared" si="7"/>
        <v>0</v>
      </c>
      <c r="K55" s="25"/>
      <c r="L55" s="25"/>
      <c r="M55" s="25">
        <f t="shared" si="9"/>
        <v>0</v>
      </c>
      <c r="N55" s="25">
        <f t="shared" si="10"/>
        <v>0</v>
      </c>
      <c r="O55" s="25">
        <f t="shared" si="11"/>
        <v>0</v>
      </c>
      <c r="P55" s="25"/>
      <c r="Q55" s="24"/>
      <c r="R55" s="24">
        <f t="shared" si="29"/>
        <v>0</v>
      </c>
      <c r="S55" s="25"/>
      <c r="T55" s="25"/>
      <c r="U55" s="25">
        <f t="shared" si="15"/>
        <v>0</v>
      </c>
      <c r="V55" s="25">
        <f t="shared" si="16"/>
        <v>0</v>
      </c>
      <c r="W55" s="25">
        <f t="shared" si="17"/>
        <v>0</v>
      </c>
      <c r="X55" s="25"/>
    </row>
    <row r="56" spans="1:24" s="3" customFormat="1" ht="17.100000000000001" hidden="1" customHeight="1" x14ac:dyDescent="0.3">
      <c r="A56" s="23" t="s">
        <v>184</v>
      </c>
      <c r="B56" s="23" t="s">
        <v>185</v>
      </c>
      <c r="C56" s="24"/>
      <c r="D56" s="24"/>
      <c r="E56" s="24"/>
      <c r="F56" s="122">
        <f t="shared" si="50"/>
        <v>0</v>
      </c>
      <c r="G56" s="25"/>
      <c r="H56" s="25"/>
      <c r="I56" s="24"/>
      <c r="J56" s="24">
        <f t="shared" si="7"/>
        <v>0</v>
      </c>
      <c r="K56" s="25"/>
      <c r="L56" s="25"/>
      <c r="M56" s="25">
        <f t="shared" si="9"/>
        <v>0</v>
      </c>
      <c r="N56" s="25">
        <f t="shared" si="10"/>
        <v>0</v>
      </c>
      <c r="O56" s="25">
        <f t="shared" si="11"/>
        <v>0</v>
      </c>
      <c r="P56" s="25"/>
      <c r="Q56" s="24"/>
      <c r="R56" s="24">
        <f t="shared" si="29"/>
        <v>0</v>
      </c>
      <c r="S56" s="25"/>
      <c r="T56" s="25"/>
      <c r="U56" s="25">
        <f t="shared" si="15"/>
        <v>0</v>
      </c>
      <c r="V56" s="25">
        <f t="shared" si="16"/>
        <v>0</v>
      </c>
      <c r="W56" s="25">
        <f t="shared" si="17"/>
        <v>0</v>
      </c>
      <c r="X56" s="25"/>
    </row>
    <row r="57" spans="1:24" s="3" customFormat="1" ht="17.100000000000001" customHeight="1" x14ac:dyDescent="0.3">
      <c r="A57" s="26" t="s">
        <v>186</v>
      </c>
      <c r="B57" s="26" t="s">
        <v>187</v>
      </c>
      <c r="C57" s="122">
        <f>+'2b. Önkormányzat kiadások'!C56</f>
        <v>39903000</v>
      </c>
      <c r="D57" s="122">
        <f>+'2b. Önkormányzat kiadások'!D56</f>
        <v>37265748</v>
      </c>
      <c r="E57" s="122">
        <f>+'2b. Önkormányzat kiadások'!E56</f>
        <v>66001000</v>
      </c>
      <c r="F57" s="122">
        <f t="shared" si="50"/>
        <v>66001000</v>
      </c>
      <c r="G57" s="122">
        <f>+'2b. Önkormányzat kiadások'!G56</f>
        <v>0</v>
      </c>
      <c r="H57" s="134">
        <v>0</v>
      </c>
      <c r="I57" s="122">
        <f>+'2b. Önkormányzat kiadások'!I56</f>
        <v>5001000</v>
      </c>
      <c r="J57" s="122">
        <f t="shared" si="7"/>
        <v>5001000</v>
      </c>
      <c r="K57" s="122"/>
      <c r="L57" s="134">
        <v>0</v>
      </c>
      <c r="M57" s="134">
        <f t="shared" si="9"/>
        <v>71002000</v>
      </c>
      <c r="N57" s="134">
        <f t="shared" si="10"/>
        <v>71002000</v>
      </c>
      <c r="O57" s="134">
        <f t="shared" si="11"/>
        <v>0</v>
      </c>
      <c r="P57" s="134">
        <v>0</v>
      </c>
      <c r="Q57" s="122">
        <f>+'2b. Önkormányzat kiadások'!Q56</f>
        <v>1300000</v>
      </c>
      <c r="R57" s="122">
        <f t="shared" si="29"/>
        <v>1300000</v>
      </c>
      <c r="S57" s="122"/>
      <c r="T57" s="134">
        <v>0</v>
      </c>
      <c r="U57" s="134">
        <f t="shared" si="15"/>
        <v>72302000</v>
      </c>
      <c r="V57" s="134">
        <f t="shared" si="16"/>
        <v>72302000</v>
      </c>
      <c r="W57" s="134">
        <f t="shared" si="17"/>
        <v>0</v>
      </c>
      <c r="X57" s="134">
        <v>0</v>
      </c>
    </row>
    <row r="58" spans="1:24" s="3" customFormat="1" ht="17.100000000000001" hidden="1" customHeight="1" x14ac:dyDescent="0.3">
      <c r="A58" s="23" t="s">
        <v>188</v>
      </c>
      <c r="B58" s="23" t="s">
        <v>189</v>
      </c>
      <c r="C58" s="24"/>
      <c r="D58" s="24"/>
      <c r="E58" s="24"/>
      <c r="F58" s="122">
        <f t="shared" si="50"/>
        <v>0</v>
      </c>
      <c r="G58" s="25"/>
      <c r="H58" s="25"/>
      <c r="I58" s="24"/>
      <c r="J58" s="24">
        <f t="shared" si="7"/>
        <v>0</v>
      </c>
      <c r="K58" s="25"/>
      <c r="L58" s="25"/>
      <c r="M58" s="25">
        <f t="shared" si="9"/>
        <v>0</v>
      </c>
      <c r="N58" s="25">
        <f t="shared" si="10"/>
        <v>0</v>
      </c>
      <c r="O58" s="25">
        <f t="shared" si="11"/>
        <v>0</v>
      </c>
      <c r="P58" s="25"/>
      <c r="Q58" s="24"/>
      <c r="R58" s="24">
        <f t="shared" si="29"/>
        <v>0</v>
      </c>
      <c r="S58" s="25"/>
      <c r="T58" s="25"/>
      <c r="U58" s="25">
        <f t="shared" si="15"/>
        <v>0</v>
      </c>
      <c r="V58" s="25">
        <f t="shared" si="16"/>
        <v>0</v>
      </c>
      <c r="W58" s="25">
        <f t="shared" si="17"/>
        <v>0</v>
      </c>
      <c r="X58" s="25"/>
    </row>
    <row r="59" spans="1:24" s="3" customFormat="1" ht="17.100000000000001" hidden="1" customHeight="1" x14ac:dyDescent="0.3">
      <c r="A59" s="23" t="s">
        <v>190</v>
      </c>
      <c r="B59" s="23" t="s">
        <v>191</v>
      </c>
      <c r="C59" s="24"/>
      <c r="D59" s="24"/>
      <c r="E59" s="24"/>
      <c r="F59" s="122">
        <f t="shared" si="50"/>
        <v>0</v>
      </c>
      <c r="G59" s="25"/>
      <c r="H59" s="25"/>
      <c r="I59" s="24"/>
      <c r="J59" s="24">
        <f t="shared" si="7"/>
        <v>0</v>
      </c>
      <c r="K59" s="25"/>
      <c r="L59" s="25"/>
      <c r="M59" s="25">
        <f t="shared" si="9"/>
        <v>0</v>
      </c>
      <c r="N59" s="25">
        <f t="shared" si="10"/>
        <v>0</v>
      </c>
      <c r="O59" s="25">
        <f t="shared" si="11"/>
        <v>0</v>
      </c>
      <c r="P59" s="25"/>
      <c r="Q59" s="24"/>
      <c r="R59" s="24">
        <f t="shared" si="29"/>
        <v>0</v>
      </c>
      <c r="S59" s="25"/>
      <c r="T59" s="25"/>
      <c r="U59" s="25">
        <f t="shared" si="15"/>
        <v>0</v>
      </c>
      <c r="V59" s="25">
        <f t="shared" si="16"/>
        <v>0</v>
      </c>
      <c r="W59" s="25">
        <f t="shared" si="17"/>
        <v>0</v>
      </c>
      <c r="X59" s="25"/>
    </row>
    <row r="60" spans="1:24" s="3" customFormat="1" ht="17.100000000000001" customHeight="1" x14ac:dyDescent="0.3">
      <c r="A60" s="26" t="s">
        <v>192</v>
      </c>
      <c r="B60" s="26" t="s">
        <v>193</v>
      </c>
      <c r="C60" s="122">
        <f>+'2b. Önkormányzat kiadások'!C59</f>
        <v>59134000</v>
      </c>
      <c r="D60" s="122">
        <f>+'2b. Önkormányzat kiadások'!D59</f>
        <v>59134000</v>
      </c>
      <c r="E60" s="122">
        <f>+'2b. Önkormányzat kiadások'!E59</f>
        <v>0</v>
      </c>
      <c r="F60" s="122">
        <f t="shared" si="50"/>
        <v>0</v>
      </c>
      <c r="G60" s="122">
        <f>+'2b. Önkormányzat kiadások'!G59</f>
        <v>0</v>
      </c>
      <c r="H60" s="134">
        <v>0</v>
      </c>
      <c r="I60" s="122">
        <f>+'2b. Önkormányzat kiadások'!I59</f>
        <v>0</v>
      </c>
      <c r="J60" s="122">
        <f t="shared" si="7"/>
        <v>0</v>
      </c>
      <c r="K60" s="122"/>
      <c r="L60" s="134">
        <v>0</v>
      </c>
      <c r="M60" s="134">
        <f t="shared" si="9"/>
        <v>0</v>
      </c>
      <c r="N60" s="134">
        <f t="shared" si="10"/>
        <v>0</v>
      </c>
      <c r="O60" s="134">
        <f t="shared" si="11"/>
        <v>0</v>
      </c>
      <c r="P60" s="134">
        <v>0</v>
      </c>
      <c r="Q60" s="122">
        <f>+'2b. Önkormányzat kiadások'!Q59</f>
        <v>0</v>
      </c>
      <c r="R60" s="122">
        <f t="shared" si="29"/>
        <v>0</v>
      </c>
      <c r="S60" s="122"/>
      <c r="T60" s="134">
        <v>0</v>
      </c>
      <c r="U60" s="134">
        <f t="shared" si="15"/>
        <v>0</v>
      </c>
      <c r="V60" s="134">
        <f t="shared" si="16"/>
        <v>0</v>
      </c>
      <c r="W60" s="134">
        <f t="shared" si="17"/>
        <v>0</v>
      </c>
      <c r="X60" s="134">
        <v>0</v>
      </c>
    </row>
    <row r="61" spans="1:24" s="3" customFormat="1" ht="17.100000000000001" hidden="1" customHeight="1" x14ac:dyDescent="0.3">
      <c r="A61" s="23" t="s">
        <v>13</v>
      </c>
      <c r="B61" s="23" t="s">
        <v>14</v>
      </c>
      <c r="C61" s="24"/>
      <c r="D61" s="24"/>
      <c r="E61" s="24"/>
      <c r="F61" s="122">
        <f t="shared" si="50"/>
        <v>0</v>
      </c>
      <c r="G61" s="25"/>
      <c r="H61" s="25"/>
      <c r="I61" s="24"/>
      <c r="J61" s="24">
        <f t="shared" si="7"/>
        <v>0</v>
      </c>
      <c r="K61" s="25"/>
      <c r="L61" s="25"/>
      <c r="M61" s="25">
        <f t="shared" si="9"/>
        <v>0</v>
      </c>
      <c r="N61" s="25">
        <f t="shared" si="10"/>
        <v>0</v>
      </c>
      <c r="O61" s="25">
        <f t="shared" si="11"/>
        <v>0</v>
      </c>
      <c r="P61" s="25"/>
      <c r="Q61" s="24"/>
      <c r="R61" s="24">
        <f t="shared" si="29"/>
        <v>0</v>
      </c>
      <c r="S61" s="25"/>
      <c r="T61" s="25"/>
      <c r="U61" s="25">
        <f t="shared" si="15"/>
        <v>0</v>
      </c>
      <c r="V61" s="25">
        <f t="shared" si="16"/>
        <v>0</v>
      </c>
      <c r="W61" s="25">
        <f t="shared" si="17"/>
        <v>0</v>
      </c>
      <c r="X61" s="25"/>
    </row>
    <row r="62" spans="1:24" s="5" customFormat="1" ht="17.100000000000001" hidden="1" customHeight="1" x14ac:dyDescent="0.3">
      <c r="A62" s="26" t="s">
        <v>194</v>
      </c>
      <c r="B62" s="26" t="s">
        <v>195</v>
      </c>
      <c r="C62" s="122"/>
      <c r="D62" s="122"/>
      <c r="E62" s="122"/>
      <c r="F62" s="122">
        <f t="shared" si="50"/>
        <v>-158818750</v>
      </c>
      <c r="G62" s="134">
        <f>G8+G20+G21+G41+G44+G51+G57+G60</f>
        <v>158818750</v>
      </c>
      <c r="H62" s="134">
        <f>H8+H20+H21+H41+H44+H51+H57+H60</f>
        <v>0</v>
      </c>
      <c r="I62" s="122"/>
      <c r="J62" s="122">
        <f t="shared" si="7"/>
        <v>0</v>
      </c>
      <c r="K62" s="134">
        <f>K8+K20+K21+K41+K44+K51+K57+K60</f>
        <v>1000000</v>
      </c>
      <c r="L62" s="134">
        <f>L8+L20+L21+L41+L44+L51+L57+L60</f>
        <v>0</v>
      </c>
      <c r="M62" s="134">
        <f t="shared" si="9"/>
        <v>0</v>
      </c>
      <c r="N62" s="134">
        <f t="shared" si="10"/>
        <v>-158818750</v>
      </c>
      <c r="O62" s="134">
        <f t="shared" si="11"/>
        <v>159818750</v>
      </c>
      <c r="P62" s="134">
        <f>P8+P20+P21+P41+P44+P51+P57+P60</f>
        <v>0</v>
      </c>
      <c r="Q62" s="122"/>
      <c r="R62" s="122">
        <f t="shared" si="29"/>
        <v>0</v>
      </c>
      <c r="S62" s="134">
        <f>S8+S20+S21+S41+S44+S51+S57+S60</f>
        <v>25406500</v>
      </c>
      <c r="T62" s="134">
        <f>T8+T20+T21+T41+T44+T51+T57+T60</f>
        <v>0</v>
      </c>
      <c r="U62" s="134">
        <f t="shared" si="15"/>
        <v>0</v>
      </c>
      <c r="V62" s="134">
        <f t="shared" si="16"/>
        <v>-158818750</v>
      </c>
      <c r="W62" s="134">
        <f t="shared" si="17"/>
        <v>185225250</v>
      </c>
      <c r="X62" s="134">
        <f>X8+X20+X21+X41+X44+X51+X57+X60</f>
        <v>0</v>
      </c>
    </row>
    <row r="63" spans="1:24" s="4" customFormat="1" ht="17.100000000000001" customHeight="1" x14ac:dyDescent="0.3">
      <c r="A63" s="26" t="s">
        <v>196</v>
      </c>
      <c r="B63" s="26" t="s">
        <v>197</v>
      </c>
      <c r="C63" s="122">
        <f>+'2b. Önkormányzat kiadások'!C64</f>
        <v>9399806</v>
      </c>
      <c r="D63" s="122">
        <f>+'2b. Önkormányzat kiadások'!D64</f>
        <v>9007646</v>
      </c>
      <c r="E63" s="122">
        <f>+'2b. Önkormányzat kiadások'!E64</f>
        <v>9328598</v>
      </c>
      <c r="F63" s="122">
        <f t="shared" si="50"/>
        <v>9328598</v>
      </c>
      <c r="G63" s="134">
        <f t="shared" ref="G63:H63" si="51">SUM(G64:G66)</f>
        <v>0</v>
      </c>
      <c r="H63" s="134">
        <f t="shared" si="51"/>
        <v>0</v>
      </c>
      <c r="I63" s="122">
        <f>+'2b. Önkormányzat kiadások'!I64</f>
        <v>178836</v>
      </c>
      <c r="J63" s="122">
        <f t="shared" si="7"/>
        <v>178836</v>
      </c>
      <c r="K63" s="134"/>
      <c r="L63" s="134">
        <f t="shared" ref="L63" si="52">SUM(L64:L66)</f>
        <v>0</v>
      </c>
      <c r="M63" s="134">
        <f t="shared" si="9"/>
        <v>9507434</v>
      </c>
      <c r="N63" s="134">
        <f t="shared" si="10"/>
        <v>9507434</v>
      </c>
      <c r="O63" s="134">
        <f t="shared" si="11"/>
        <v>0</v>
      </c>
      <c r="P63" s="134">
        <f t="shared" ref="P63" si="53">SUM(P64:P66)</f>
        <v>0</v>
      </c>
      <c r="Q63" s="122">
        <f>+'2b. Önkormányzat kiadások'!Q64</f>
        <v>0</v>
      </c>
      <c r="R63" s="122">
        <f t="shared" si="29"/>
        <v>0</v>
      </c>
      <c r="S63" s="134"/>
      <c r="T63" s="134">
        <f t="shared" ref="T63" si="54">SUM(T64:T66)</f>
        <v>0</v>
      </c>
      <c r="U63" s="134">
        <f t="shared" si="15"/>
        <v>9507434</v>
      </c>
      <c r="V63" s="134">
        <f t="shared" si="16"/>
        <v>9507434</v>
      </c>
      <c r="W63" s="134">
        <f t="shared" si="17"/>
        <v>0</v>
      </c>
      <c r="X63" s="134">
        <f t="shared" ref="X63" si="55">SUM(X64:X66)</f>
        <v>0</v>
      </c>
    </row>
    <row r="64" spans="1:24" s="4" customFormat="1" ht="17.100000000000001" hidden="1" customHeight="1" x14ac:dyDescent="0.3">
      <c r="A64" s="23" t="s">
        <v>198</v>
      </c>
      <c r="B64" s="23" t="s">
        <v>199</v>
      </c>
      <c r="C64" s="24">
        <v>0</v>
      </c>
      <c r="D64" s="24">
        <v>0</v>
      </c>
      <c r="E64" s="24">
        <v>0</v>
      </c>
      <c r="F64" s="24">
        <v>0</v>
      </c>
      <c r="G64" s="25"/>
      <c r="H64" s="25"/>
      <c r="I64" s="24">
        <v>0</v>
      </c>
      <c r="J64" s="24">
        <f t="shared" si="7"/>
        <v>0</v>
      </c>
      <c r="K64" s="25"/>
      <c r="L64" s="25"/>
      <c r="M64" s="25">
        <f t="shared" si="9"/>
        <v>0</v>
      </c>
      <c r="N64" s="25">
        <f t="shared" si="10"/>
        <v>0</v>
      </c>
      <c r="O64" s="25">
        <f t="shared" si="11"/>
        <v>0</v>
      </c>
      <c r="P64" s="25"/>
      <c r="Q64" s="24">
        <v>0</v>
      </c>
      <c r="R64" s="24">
        <f t="shared" si="29"/>
        <v>0</v>
      </c>
      <c r="S64" s="25"/>
      <c r="T64" s="25"/>
      <c r="U64" s="25">
        <f t="shared" si="15"/>
        <v>0</v>
      </c>
      <c r="V64" s="25">
        <f t="shared" si="16"/>
        <v>0</v>
      </c>
      <c r="W64" s="25">
        <f t="shared" si="17"/>
        <v>0</v>
      </c>
      <c r="X64" s="25"/>
    </row>
    <row r="65" spans="1:24" s="4" customFormat="1" ht="17.100000000000001" hidden="1" customHeight="1" x14ac:dyDescent="0.3">
      <c r="A65" s="23" t="s">
        <v>200</v>
      </c>
      <c r="B65" s="23" t="s">
        <v>201</v>
      </c>
      <c r="C65" s="24"/>
      <c r="D65" s="24"/>
      <c r="E65" s="24"/>
      <c r="F65" s="24"/>
      <c r="G65" s="25"/>
      <c r="H65" s="25"/>
      <c r="I65" s="24"/>
      <c r="J65" s="24">
        <f t="shared" si="7"/>
        <v>0</v>
      </c>
      <c r="K65" s="25"/>
      <c r="L65" s="25"/>
      <c r="M65" s="25">
        <f t="shared" si="9"/>
        <v>0</v>
      </c>
      <c r="N65" s="25">
        <f t="shared" si="10"/>
        <v>0</v>
      </c>
      <c r="O65" s="25">
        <f t="shared" si="11"/>
        <v>0</v>
      </c>
      <c r="P65" s="25"/>
      <c r="Q65" s="24"/>
      <c r="R65" s="24">
        <f t="shared" si="29"/>
        <v>0</v>
      </c>
      <c r="S65" s="25"/>
      <c r="T65" s="25"/>
      <c r="U65" s="25">
        <f t="shared" si="15"/>
        <v>0</v>
      </c>
      <c r="V65" s="25">
        <f t="shared" si="16"/>
        <v>0</v>
      </c>
      <c r="W65" s="25">
        <f t="shared" si="17"/>
        <v>0</v>
      </c>
      <c r="X65" s="25"/>
    </row>
    <row r="66" spans="1:24" s="5" customFormat="1" ht="17.100000000000001" hidden="1" customHeight="1" x14ac:dyDescent="0.3">
      <c r="A66" s="23" t="s">
        <v>202</v>
      </c>
      <c r="B66" s="23" t="s">
        <v>203</v>
      </c>
      <c r="C66" s="24"/>
      <c r="D66" s="24"/>
      <c r="E66" s="24"/>
      <c r="F66" s="24"/>
      <c r="G66" s="25"/>
      <c r="H66" s="25"/>
      <c r="I66" s="24"/>
      <c r="J66" s="24">
        <f t="shared" si="7"/>
        <v>0</v>
      </c>
      <c r="K66" s="25"/>
      <c r="L66" s="25"/>
      <c r="M66" s="25">
        <f t="shared" si="9"/>
        <v>0</v>
      </c>
      <c r="N66" s="25">
        <f t="shared" si="10"/>
        <v>0</v>
      </c>
      <c r="O66" s="25">
        <f t="shared" si="11"/>
        <v>0</v>
      </c>
      <c r="P66" s="25"/>
      <c r="Q66" s="24"/>
      <c r="R66" s="24">
        <f t="shared" si="29"/>
        <v>0</v>
      </c>
      <c r="S66" s="25"/>
      <c r="T66" s="25"/>
      <c r="U66" s="25">
        <f t="shared" si="15"/>
        <v>0</v>
      </c>
      <c r="V66" s="25">
        <f t="shared" si="16"/>
        <v>0</v>
      </c>
      <c r="W66" s="25">
        <f t="shared" si="17"/>
        <v>0</v>
      </c>
      <c r="X66" s="25"/>
    </row>
    <row r="67" spans="1:24" ht="33" customHeight="1" x14ac:dyDescent="0.25">
      <c r="A67" s="306" t="s">
        <v>397</v>
      </c>
      <c r="B67" s="307"/>
      <c r="C67" s="125">
        <f>SUM(C8,C20,C21,C41,C44,C51,C57,C60,C63)</f>
        <v>1510023950</v>
      </c>
      <c r="D67" s="125">
        <f t="shared" ref="D67:F67" si="56">SUM(D8,D20,D21,D41,D44,D51,D57,D60,D63)</f>
        <v>904652262</v>
      </c>
      <c r="E67" s="125">
        <f t="shared" si="56"/>
        <v>1278765011</v>
      </c>
      <c r="F67" s="125">
        <f t="shared" si="56"/>
        <v>1119946261</v>
      </c>
      <c r="G67" s="139">
        <f t="shared" ref="G67:H67" si="57">G62+G63</f>
        <v>158818750</v>
      </c>
      <c r="H67" s="139">
        <f t="shared" si="57"/>
        <v>0</v>
      </c>
      <c r="I67" s="125">
        <f t="shared" ref="I67:L67" si="58">SUM(I8,I20,I21,I41,I44,I51,I57,I60,I63)</f>
        <v>65854144</v>
      </c>
      <c r="J67" s="125">
        <f t="shared" si="58"/>
        <v>64854144</v>
      </c>
      <c r="K67" s="125">
        <f t="shared" si="58"/>
        <v>1000000</v>
      </c>
      <c r="L67" s="125">
        <f t="shared" si="58"/>
        <v>0</v>
      </c>
      <c r="M67" s="125">
        <f t="shared" si="9"/>
        <v>1344619155</v>
      </c>
      <c r="N67" s="125">
        <f t="shared" si="10"/>
        <v>1184800405</v>
      </c>
      <c r="O67" s="125">
        <f t="shared" si="11"/>
        <v>159818750</v>
      </c>
      <c r="P67" s="139">
        <f t="shared" ref="P67" si="59">P62+P63</f>
        <v>0</v>
      </c>
      <c r="Q67" s="125">
        <f t="shared" ref="Q67:T67" si="60">SUM(Q8,Q20,Q21,Q41,Q44,Q51,Q57,Q60,Q63)</f>
        <v>102795820</v>
      </c>
      <c r="R67" s="125">
        <f t="shared" si="60"/>
        <v>77389320</v>
      </c>
      <c r="S67" s="125">
        <f t="shared" si="60"/>
        <v>25406500</v>
      </c>
      <c r="T67" s="125">
        <f t="shared" si="60"/>
        <v>0</v>
      </c>
      <c r="U67" s="125">
        <f t="shared" si="15"/>
        <v>1447414975</v>
      </c>
      <c r="V67" s="125">
        <f t="shared" si="16"/>
        <v>1262189725</v>
      </c>
      <c r="W67" s="125">
        <f t="shared" si="17"/>
        <v>185225250</v>
      </c>
      <c r="X67" s="139">
        <f t="shared" ref="X67" si="61">X62+X63</f>
        <v>0</v>
      </c>
    </row>
    <row r="68" spans="1:24" ht="14.4" x14ac:dyDescent="0.3">
      <c r="A68" s="222"/>
      <c r="B68" s="222"/>
    </row>
    <row r="69" spans="1:24" x14ac:dyDescent="0.25">
      <c r="C69" s="105"/>
      <c r="D69" s="105"/>
      <c r="E69" s="105"/>
      <c r="I69" s="105"/>
      <c r="M69" s="105"/>
      <c r="Q69" s="105"/>
      <c r="U69" s="105"/>
    </row>
  </sheetData>
  <mergeCells count="25">
    <mergeCell ref="S5:T5"/>
    <mergeCell ref="W5:X5"/>
    <mergeCell ref="Q6:Q7"/>
    <mergeCell ref="R6:T6"/>
    <mergeCell ref="U6:U7"/>
    <mergeCell ref="V6:X6"/>
    <mergeCell ref="K5:L5"/>
    <mergeCell ref="I6:I7"/>
    <mergeCell ref="J6:L6"/>
    <mergeCell ref="O5:P5"/>
    <mergeCell ref="M6:M7"/>
    <mergeCell ref="N6:P6"/>
    <mergeCell ref="A67:B67"/>
    <mergeCell ref="F6:H6"/>
    <mergeCell ref="A6:A7"/>
    <mergeCell ref="B6:B7"/>
    <mergeCell ref="C6:C7"/>
    <mergeCell ref="D6:D7"/>
    <mergeCell ref="E6:E7"/>
    <mergeCell ref="A2:H2"/>
    <mergeCell ref="A3:H3"/>
    <mergeCell ref="A5:B5"/>
    <mergeCell ref="D5:E5"/>
    <mergeCell ref="G5:H5"/>
    <mergeCell ref="A4:B4"/>
  </mergeCells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X50"/>
  <sheetViews>
    <sheetView zoomScaleNormal="100" zoomScaleSheetLayoutView="100" workbookViewId="0">
      <selection activeCell="A6" sqref="A6:A7"/>
    </sheetView>
  </sheetViews>
  <sheetFormatPr defaultColWidth="8.5546875" defaultRowHeight="13.8" x14ac:dyDescent="0.25"/>
  <cols>
    <col min="1" max="1" width="10.77734375" style="127" customWidth="1"/>
    <col min="2" max="2" width="56" style="127" customWidth="1"/>
    <col min="3" max="3" width="13" style="127" customWidth="1"/>
    <col min="4" max="4" width="14.44140625" style="127" customWidth="1"/>
    <col min="5" max="5" width="12.44140625" style="127" customWidth="1"/>
    <col min="6" max="6" width="13" style="6" customWidth="1"/>
    <col min="7" max="8" width="11.5546875" style="6" customWidth="1"/>
    <col min="9" max="9" width="12.44140625" style="127" customWidth="1"/>
    <col min="10" max="10" width="13" style="6" customWidth="1"/>
    <col min="11" max="12" width="11.5546875" style="6" customWidth="1"/>
    <col min="13" max="13" width="12.44140625" style="127" customWidth="1"/>
    <col min="14" max="14" width="13" style="6" customWidth="1"/>
    <col min="15" max="16" width="11.5546875" style="6" customWidth="1"/>
    <col min="17" max="17" width="12.44140625" style="127" customWidth="1"/>
    <col min="18" max="18" width="13" style="6" customWidth="1"/>
    <col min="19" max="20" width="11.5546875" style="6" customWidth="1"/>
    <col min="21" max="21" width="12.44140625" style="127" customWidth="1"/>
    <col min="22" max="22" width="13" style="6" customWidth="1"/>
    <col min="23" max="24" width="11.5546875" style="6" customWidth="1"/>
    <col min="25" max="16384" width="8.5546875" style="127"/>
  </cols>
  <sheetData>
    <row r="2" spans="1:24" ht="17.100000000000001" customHeight="1" x14ac:dyDescent="0.35">
      <c r="A2" s="301" t="s">
        <v>350</v>
      </c>
      <c r="B2" s="301"/>
      <c r="C2" s="301"/>
      <c r="D2" s="301"/>
      <c r="E2" s="301"/>
      <c r="F2" s="301"/>
      <c r="G2" s="301"/>
      <c r="H2" s="301"/>
      <c r="J2" s="127"/>
      <c r="K2" s="127"/>
      <c r="L2" s="127"/>
      <c r="N2" s="127"/>
      <c r="O2" s="127"/>
      <c r="P2" s="127"/>
      <c r="R2" s="127"/>
      <c r="S2" s="127"/>
      <c r="T2" s="127"/>
      <c r="V2" s="127"/>
      <c r="W2" s="127"/>
      <c r="X2" s="127"/>
    </row>
    <row r="3" spans="1:24" ht="17.100000000000001" customHeight="1" x14ac:dyDescent="0.35">
      <c r="A3" s="301" t="s">
        <v>327</v>
      </c>
      <c r="B3" s="301"/>
      <c r="C3" s="301"/>
      <c r="D3" s="301"/>
      <c r="E3" s="301"/>
      <c r="F3" s="301"/>
      <c r="G3" s="301"/>
      <c r="H3" s="301"/>
      <c r="J3" s="127"/>
      <c r="K3" s="127"/>
      <c r="L3" s="127"/>
      <c r="N3" s="127"/>
      <c r="O3" s="127"/>
      <c r="P3" s="127"/>
      <c r="R3" s="127"/>
      <c r="S3" s="127"/>
      <c r="T3" s="127"/>
      <c r="V3" s="127"/>
      <c r="W3" s="127"/>
      <c r="X3" s="127"/>
    </row>
    <row r="4" spans="1:24" ht="17.100000000000001" customHeight="1" x14ac:dyDescent="0.3">
      <c r="A4" s="303" t="s">
        <v>552</v>
      </c>
      <c r="B4" s="303"/>
      <c r="C4" s="145"/>
      <c r="D4" s="302"/>
      <c r="E4" s="302"/>
      <c r="F4" s="236"/>
      <c r="G4" s="236"/>
      <c r="H4" s="236"/>
      <c r="J4" s="236"/>
      <c r="K4" s="236"/>
      <c r="L4" s="236"/>
      <c r="N4" s="236"/>
      <c r="O4" s="236"/>
      <c r="P4" s="236"/>
      <c r="R4" s="236"/>
      <c r="S4" s="236"/>
      <c r="T4" s="236"/>
      <c r="V4" s="236"/>
      <c r="W4" s="236"/>
      <c r="X4" s="236"/>
    </row>
    <row r="5" spans="1:24" ht="17.100000000000001" customHeight="1" x14ac:dyDescent="0.3">
      <c r="A5" s="303" t="s">
        <v>556</v>
      </c>
      <c r="B5" s="303"/>
      <c r="C5" s="145"/>
      <c r="D5" s="304"/>
      <c r="E5" s="304"/>
      <c r="F5" s="238"/>
      <c r="G5" s="305" t="s">
        <v>15</v>
      </c>
      <c r="H5" s="305"/>
      <c r="I5" s="223"/>
      <c r="J5" s="238"/>
      <c r="K5" s="305" t="s">
        <v>15</v>
      </c>
      <c r="L5" s="305"/>
      <c r="M5" s="223"/>
      <c r="N5" s="238"/>
      <c r="O5" s="305" t="s">
        <v>15</v>
      </c>
      <c r="P5" s="305"/>
      <c r="Q5" s="223"/>
      <c r="R5" s="238"/>
      <c r="S5" s="305" t="s">
        <v>15</v>
      </c>
      <c r="T5" s="305"/>
      <c r="U5" s="223"/>
      <c r="V5" s="238"/>
      <c r="W5" s="305" t="s">
        <v>15</v>
      </c>
      <c r="X5" s="305"/>
    </row>
    <row r="6" spans="1:24" ht="17.100000000000001" customHeight="1" x14ac:dyDescent="0.25">
      <c r="A6" s="300" t="s">
        <v>19</v>
      </c>
      <c r="B6" s="300" t="s">
        <v>358</v>
      </c>
      <c r="C6" s="308" t="s">
        <v>484</v>
      </c>
      <c r="D6" s="300" t="s">
        <v>483</v>
      </c>
      <c r="E6" s="300" t="s">
        <v>480</v>
      </c>
      <c r="F6" s="300" t="s">
        <v>480</v>
      </c>
      <c r="G6" s="300"/>
      <c r="H6" s="300"/>
      <c r="I6" s="300" t="s">
        <v>511</v>
      </c>
      <c r="J6" s="300" t="s">
        <v>511</v>
      </c>
      <c r="K6" s="300"/>
      <c r="L6" s="300"/>
      <c r="M6" s="300" t="s">
        <v>512</v>
      </c>
      <c r="N6" s="300" t="s">
        <v>512</v>
      </c>
      <c r="O6" s="300"/>
      <c r="P6" s="300"/>
      <c r="Q6" s="300" t="s">
        <v>531</v>
      </c>
      <c r="R6" s="300" t="s">
        <v>531</v>
      </c>
      <c r="S6" s="300"/>
      <c r="T6" s="300"/>
      <c r="U6" s="300" t="s">
        <v>532</v>
      </c>
      <c r="V6" s="300" t="s">
        <v>532</v>
      </c>
      <c r="W6" s="300"/>
      <c r="X6" s="300"/>
    </row>
    <row r="7" spans="1:24" ht="44.85" customHeight="1" x14ac:dyDescent="0.25">
      <c r="A7" s="311"/>
      <c r="B7" s="311"/>
      <c r="C7" s="309"/>
      <c r="D7" s="300"/>
      <c r="E7" s="300"/>
      <c r="F7" s="235" t="s">
        <v>204</v>
      </c>
      <c r="G7" s="235" t="s">
        <v>205</v>
      </c>
      <c r="H7" s="235" t="s">
        <v>359</v>
      </c>
      <c r="I7" s="300"/>
      <c r="J7" s="235" t="s">
        <v>204</v>
      </c>
      <c r="K7" s="235" t="s">
        <v>205</v>
      </c>
      <c r="L7" s="235" t="s">
        <v>359</v>
      </c>
      <c r="M7" s="300"/>
      <c r="N7" s="235" t="s">
        <v>204</v>
      </c>
      <c r="O7" s="235" t="s">
        <v>205</v>
      </c>
      <c r="P7" s="235" t="s">
        <v>359</v>
      </c>
      <c r="Q7" s="300"/>
      <c r="R7" s="235" t="s">
        <v>204</v>
      </c>
      <c r="S7" s="235" t="s">
        <v>205</v>
      </c>
      <c r="T7" s="235" t="s">
        <v>359</v>
      </c>
      <c r="U7" s="300"/>
      <c r="V7" s="235" t="s">
        <v>204</v>
      </c>
      <c r="W7" s="235" t="s">
        <v>205</v>
      </c>
      <c r="X7" s="235" t="s">
        <v>359</v>
      </c>
    </row>
    <row r="8" spans="1:24" ht="17.100000000000001" customHeight="1" x14ac:dyDescent="0.3">
      <c r="A8" s="26" t="s">
        <v>23</v>
      </c>
      <c r="B8" s="26" t="s">
        <v>24</v>
      </c>
      <c r="C8" s="122">
        <f>C9+C15</f>
        <v>321529198</v>
      </c>
      <c r="D8" s="122">
        <f t="shared" ref="D8:H8" si="0">D9+D15</f>
        <v>327684944</v>
      </c>
      <c r="E8" s="122">
        <f t="shared" si="0"/>
        <v>315656753</v>
      </c>
      <c r="F8" s="122">
        <f t="shared" si="0"/>
        <v>315656753</v>
      </c>
      <c r="G8" s="134">
        <f t="shared" si="0"/>
        <v>0</v>
      </c>
      <c r="H8" s="134">
        <f t="shared" si="0"/>
        <v>0</v>
      </c>
      <c r="I8" s="122">
        <f t="shared" ref="I8:L8" si="1">I9+I15</f>
        <v>9258650</v>
      </c>
      <c r="J8" s="122">
        <f>I8</f>
        <v>9258650</v>
      </c>
      <c r="K8" s="134">
        <f t="shared" si="1"/>
        <v>0</v>
      </c>
      <c r="L8" s="134">
        <f t="shared" si="1"/>
        <v>0</v>
      </c>
      <c r="M8" s="122">
        <f>E8+I8</f>
        <v>324915403</v>
      </c>
      <c r="N8" s="122">
        <f>F8+J8</f>
        <v>324915403</v>
      </c>
      <c r="O8" s="122">
        <f>G8+K8</f>
        <v>0</v>
      </c>
      <c r="P8" s="134">
        <f t="shared" ref="P8:Q8" si="2">P9+P15</f>
        <v>0</v>
      </c>
      <c r="Q8" s="122">
        <f t="shared" si="2"/>
        <v>24518583</v>
      </c>
      <c r="R8" s="122">
        <f t="shared" ref="R8" si="3">R9+R15</f>
        <v>24518583</v>
      </c>
      <c r="S8" s="134">
        <f t="shared" ref="S8:T8" si="4">S9+S15</f>
        <v>0</v>
      </c>
      <c r="T8" s="134">
        <f t="shared" si="4"/>
        <v>0</v>
      </c>
      <c r="U8" s="122">
        <f>M8+Q8</f>
        <v>349433986</v>
      </c>
      <c r="V8" s="122">
        <f>N8+R8</f>
        <v>349433986</v>
      </c>
      <c r="W8" s="122">
        <f>O8+S8</f>
        <v>0</v>
      </c>
      <c r="X8" s="134">
        <f t="shared" ref="X8" si="5">X9+X15</f>
        <v>0</v>
      </c>
    </row>
    <row r="9" spans="1:24" ht="17.100000000000001" customHeight="1" x14ac:dyDescent="0.3">
      <c r="A9" s="23" t="s">
        <v>25</v>
      </c>
      <c r="B9" s="23" t="s">
        <v>26</v>
      </c>
      <c r="C9" s="24">
        <f>SUM(C10:C14)</f>
        <v>269720198</v>
      </c>
      <c r="D9" s="24">
        <f>SUM(D10:D14)</f>
        <v>281755967</v>
      </c>
      <c r="E9" s="24">
        <f>SUM(E10:E14)</f>
        <v>250234871</v>
      </c>
      <c r="F9" s="24">
        <f t="shared" ref="F9:L9" si="6">SUM(F10:F14)</f>
        <v>250234871</v>
      </c>
      <c r="G9" s="24">
        <f t="shared" si="6"/>
        <v>0</v>
      </c>
      <c r="H9" s="24">
        <f t="shared" si="6"/>
        <v>0</v>
      </c>
      <c r="I9" s="24">
        <f t="shared" si="6"/>
        <v>24185150</v>
      </c>
      <c r="J9" s="24">
        <f t="shared" si="6"/>
        <v>24185150</v>
      </c>
      <c r="K9" s="24">
        <f t="shared" si="6"/>
        <v>0</v>
      </c>
      <c r="L9" s="24">
        <f t="shared" si="6"/>
        <v>0</v>
      </c>
      <c r="M9" s="24">
        <f t="shared" ref="M9:M49" si="7">E9+I9</f>
        <v>274420021</v>
      </c>
      <c r="N9" s="24">
        <f t="shared" ref="N9:N49" si="8">F9+J9</f>
        <v>274420021</v>
      </c>
      <c r="O9" s="24">
        <f t="shared" ref="O9:O49" si="9">G9+K9</f>
        <v>0</v>
      </c>
      <c r="P9" s="25">
        <v>0</v>
      </c>
      <c r="Q9" s="24">
        <f>SUM(Q10:Q14)</f>
        <v>11157283</v>
      </c>
      <c r="R9" s="24">
        <f>SUM(R10:R14)</f>
        <v>11157283</v>
      </c>
      <c r="S9" s="24">
        <f t="shared" ref="S9:T9" si="10">SUM(S10:S14)</f>
        <v>0</v>
      </c>
      <c r="T9" s="24">
        <f t="shared" si="10"/>
        <v>0</v>
      </c>
      <c r="U9" s="24">
        <f t="shared" ref="U9:U49" si="11">M9+Q9</f>
        <v>285577304</v>
      </c>
      <c r="V9" s="24">
        <f t="shared" ref="V9:V49" si="12">N9+R9</f>
        <v>285577304</v>
      </c>
      <c r="W9" s="24">
        <f t="shared" ref="W9:W49" si="13">O9+S9</f>
        <v>0</v>
      </c>
      <c r="X9" s="25">
        <v>0</v>
      </c>
    </row>
    <row r="10" spans="1:24" ht="17.100000000000001" customHeight="1" x14ac:dyDescent="0.3">
      <c r="A10" s="23" t="s">
        <v>27</v>
      </c>
      <c r="B10" s="23" t="s">
        <v>28</v>
      </c>
      <c r="C10" s="24">
        <v>102295339</v>
      </c>
      <c r="D10" s="24">
        <v>102295339</v>
      </c>
      <c r="E10" s="24">
        <v>105767245</v>
      </c>
      <c r="F10" s="24">
        <v>105767245</v>
      </c>
      <c r="G10" s="25">
        <v>0</v>
      </c>
      <c r="H10" s="25">
        <v>0</v>
      </c>
      <c r="I10" s="24"/>
      <c r="J10" s="24">
        <f t="shared" ref="J10:J48" si="14">I10</f>
        <v>0</v>
      </c>
      <c r="K10" s="25"/>
      <c r="L10" s="25">
        <v>0</v>
      </c>
      <c r="M10" s="24">
        <f t="shared" si="7"/>
        <v>105767245</v>
      </c>
      <c r="N10" s="24">
        <f t="shared" si="8"/>
        <v>105767245</v>
      </c>
      <c r="O10" s="24">
        <f t="shared" si="9"/>
        <v>0</v>
      </c>
      <c r="P10" s="25">
        <v>0</v>
      </c>
      <c r="Q10" s="24"/>
      <c r="R10" s="24"/>
      <c r="S10" s="25"/>
      <c r="T10" s="25">
        <v>0</v>
      </c>
      <c r="U10" s="24">
        <f t="shared" si="11"/>
        <v>105767245</v>
      </c>
      <c r="V10" s="24">
        <f t="shared" si="12"/>
        <v>105767245</v>
      </c>
      <c r="W10" s="24">
        <f t="shared" si="13"/>
        <v>0</v>
      </c>
      <c r="X10" s="25">
        <v>0</v>
      </c>
    </row>
    <row r="11" spans="1:24" ht="17.100000000000001" customHeight="1" x14ac:dyDescent="0.3">
      <c r="A11" s="23" t="s">
        <v>29</v>
      </c>
      <c r="B11" s="23" t="s">
        <v>30</v>
      </c>
      <c r="C11" s="24">
        <v>75367380</v>
      </c>
      <c r="D11" s="24">
        <v>75367380</v>
      </c>
      <c r="E11" s="24">
        <v>85752060</v>
      </c>
      <c r="F11" s="24">
        <v>85752060</v>
      </c>
      <c r="G11" s="25">
        <v>0</v>
      </c>
      <c r="H11" s="25">
        <v>0</v>
      </c>
      <c r="I11" s="24">
        <v>1751150</v>
      </c>
      <c r="J11" s="24">
        <f t="shared" si="14"/>
        <v>1751150</v>
      </c>
      <c r="K11" s="25"/>
      <c r="L11" s="25">
        <v>0</v>
      </c>
      <c r="M11" s="24">
        <f t="shared" si="7"/>
        <v>87503210</v>
      </c>
      <c r="N11" s="24">
        <f t="shared" si="8"/>
        <v>87503210</v>
      </c>
      <c r="O11" s="24">
        <f t="shared" si="9"/>
        <v>0</v>
      </c>
      <c r="P11" s="25">
        <v>0</v>
      </c>
      <c r="Q11" s="24"/>
      <c r="R11" s="24"/>
      <c r="S11" s="25"/>
      <c r="T11" s="25">
        <v>0</v>
      </c>
      <c r="U11" s="24">
        <f t="shared" si="11"/>
        <v>87503210</v>
      </c>
      <c r="V11" s="24">
        <f t="shared" si="12"/>
        <v>87503210</v>
      </c>
      <c r="W11" s="24">
        <f t="shared" si="13"/>
        <v>0</v>
      </c>
      <c r="X11" s="25">
        <v>0</v>
      </c>
    </row>
    <row r="12" spans="1:24" ht="17.100000000000001" customHeight="1" x14ac:dyDescent="0.3">
      <c r="A12" s="23" t="s">
        <v>31</v>
      </c>
      <c r="B12" s="23" t="s">
        <v>32</v>
      </c>
      <c r="C12" s="24">
        <f>16268400+27316193</f>
        <v>43584593</v>
      </c>
      <c r="D12" s="24">
        <f>16741390+27951323</f>
        <v>44692713</v>
      </c>
      <c r="E12" s="24">
        <v>49329625</v>
      </c>
      <c r="F12" s="24">
        <v>49329625</v>
      </c>
      <c r="G12" s="25">
        <v>0</v>
      </c>
      <c r="H12" s="25">
        <v>0</v>
      </c>
      <c r="I12" s="24"/>
      <c r="J12" s="24">
        <f t="shared" si="14"/>
        <v>0</v>
      </c>
      <c r="K12" s="25"/>
      <c r="L12" s="25">
        <v>0</v>
      </c>
      <c r="M12" s="24">
        <f t="shared" si="7"/>
        <v>49329625</v>
      </c>
      <c r="N12" s="24">
        <f t="shared" si="8"/>
        <v>49329625</v>
      </c>
      <c r="O12" s="24">
        <f t="shared" si="9"/>
        <v>0</v>
      </c>
      <c r="P12" s="25">
        <v>0</v>
      </c>
      <c r="Q12" s="24"/>
      <c r="R12" s="24"/>
      <c r="S12" s="25"/>
      <c r="T12" s="25">
        <v>0</v>
      </c>
      <c r="U12" s="24">
        <f t="shared" si="11"/>
        <v>49329625</v>
      </c>
      <c r="V12" s="24">
        <f t="shared" si="12"/>
        <v>49329625</v>
      </c>
      <c r="W12" s="24">
        <f t="shared" si="13"/>
        <v>0</v>
      </c>
      <c r="X12" s="25">
        <v>0</v>
      </c>
    </row>
    <row r="13" spans="1:24" ht="17.100000000000001" customHeight="1" x14ac:dyDescent="0.3">
      <c r="A13" s="23" t="s">
        <v>33</v>
      </c>
      <c r="B13" s="23" t="s">
        <v>34</v>
      </c>
      <c r="C13" s="24">
        <v>6806836</v>
      </c>
      <c r="D13" s="24">
        <v>6806836</v>
      </c>
      <c r="E13" s="24">
        <v>5775930</v>
      </c>
      <c r="F13" s="24">
        <v>5775930</v>
      </c>
      <c r="G13" s="25">
        <v>0</v>
      </c>
      <c r="H13" s="25">
        <v>0</v>
      </c>
      <c r="I13" s="24"/>
      <c r="J13" s="24">
        <f t="shared" si="14"/>
        <v>0</v>
      </c>
      <c r="K13" s="25"/>
      <c r="L13" s="25">
        <v>0</v>
      </c>
      <c r="M13" s="24">
        <f t="shared" si="7"/>
        <v>5775930</v>
      </c>
      <c r="N13" s="24">
        <f t="shared" si="8"/>
        <v>5775930</v>
      </c>
      <c r="O13" s="24">
        <f t="shared" si="9"/>
        <v>0</v>
      </c>
      <c r="P13" s="25">
        <v>0</v>
      </c>
      <c r="Q13" s="24">
        <f>845000</f>
        <v>845000</v>
      </c>
      <c r="R13" s="24">
        <f>845000</f>
        <v>845000</v>
      </c>
      <c r="S13" s="25"/>
      <c r="T13" s="25">
        <v>0</v>
      </c>
      <c r="U13" s="24">
        <f t="shared" si="11"/>
        <v>6620930</v>
      </c>
      <c r="V13" s="24">
        <f t="shared" si="12"/>
        <v>6620930</v>
      </c>
      <c r="W13" s="24">
        <f t="shared" si="13"/>
        <v>0</v>
      </c>
      <c r="X13" s="25">
        <v>0</v>
      </c>
    </row>
    <row r="14" spans="1:24" ht="28.8" x14ac:dyDescent="0.3">
      <c r="A14" s="23" t="s">
        <v>485</v>
      </c>
      <c r="B14" s="23" t="s">
        <v>486</v>
      </c>
      <c r="C14" s="24">
        <f>36864100+4801950</f>
        <v>41666050</v>
      </c>
      <c r="D14" s="24">
        <f>47791749+4801950</f>
        <v>52593699</v>
      </c>
      <c r="E14" s="24">
        <v>3610011</v>
      </c>
      <c r="F14" s="24">
        <v>3610011</v>
      </c>
      <c r="G14" s="25">
        <v>0</v>
      </c>
      <c r="H14" s="25">
        <v>0</v>
      </c>
      <c r="I14" s="24">
        <f>22434000</f>
        <v>22434000</v>
      </c>
      <c r="J14" s="24">
        <f t="shared" si="14"/>
        <v>22434000</v>
      </c>
      <c r="K14" s="25"/>
      <c r="L14" s="25">
        <v>0</v>
      </c>
      <c r="M14" s="24">
        <f t="shared" si="7"/>
        <v>26044011</v>
      </c>
      <c r="N14" s="24">
        <f t="shared" si="8"/>
        <v>26044011</v>
      </c>
      <c r="O14" s="24">
        <f t="shared" si="9"/>
        <v>0</v>
      </c>
      <c r="P14" s="25">
        <v>0</v>
      </c>
      <c r="Q14" s="24">
        <f>10312283</f>
        <v>10312283</v>
      </c>
      <c r="R14" s="24">
        <f>10312283</f>
        <v>10312283</v>
      </c>
      <c r="S14" s="25"/>
      <c r="T14" s="25">
        <v>0</v>
      </c>
      <c r="U14" s="24">
        <f t="shared" si="11"/>
        <v>36356294</v>
      </c>
      <c r="V14" s="24">
        <f t="shared" si="12"/>
        <v>36356294</v>
      </c>
      <c r="W14" s="24">
        <f t="shared" si="13"/>
        <v>0</v>
      </c>
      <c r="X14" s="25">
        <v>0</v>
      </c>
    </row>
    <row r="15" spans="1:24" ht="17.100000000000001" customHeight="1" x14ac:dyDescent="0.3">
      <c r="A15" s="23" t="s">
        <v>37</v>
      </c>
      <c r="B15" s="23" t="s">
        <v>38</v>
      </c>
      <c r="C15" s="24">
        <v>51809000</v>
      </c>
      <c r="D15" s="24">
        <v>45928977</v>
      </c>
      <c r="E15" s="24">
        <v>65421882</v>
      </c>
      <c r="F15" s="24">
        <v>65421882</v>
      </c>
      <c r="G15" s="25">
        <v>0</v>
      </c>
      <c r="H15" s="25">
        <v>0</v>
      </c>
      <c r="I15" s="24">
        <v>-14926500</v>
      </c>
      <c r="J15" s="24">
        <f t="shared" si="14"/>
        <v>-14926500</v>
      </c>
      <c r="K15" s="25"/>
      <c r="L15" s="25">
        <v>0</v>
      </c>
      <c r="M15" s="24">
        <f t="shared" si="7"/>
        <v>50495382</v>
      </c>
      <c r="N15" s="24">
        <f t="shared" si="8"/>
        <v>50495382</v>
      </c>
      <c r="O15" s="24">
        <f t="shared" si="9"/>
        <v>0</v>
      </c>
      <c r="P15" s="25">
        <v>0</v>
      </c>
      <c r="Q15" s="24">
        <f>150000+7998000+5332000+447300+1000000-1566000</f>
        <v>13361300</v>
      </c>
      <c r="R15" s="24">
        <f>150000+7998000+5332000+447300+1000000-1566000</f>
        <v>13361300</v>
      </c>
      <c r="S15" s="25"/>
      <c r="T15" s="25">
        <v>0</v>
      </c>
      <c r="U15" s="24">
        <f t="shared" si="11"/>
        <v>63856682</v>
      </c>
      <c r="V15" s="24">
        <f t="shared" si="12"/>
        <v>63856682</v>
      </c>
      <c r="W15" s="24">
        <f t="shared" si="13"/>
        <v>0</v>
      </c>
      <c r="X15" s="25">
        <v>0</v>
      </c>
    </row>
    <row r="16" spans="1:24" ht="17.100000000000001" customHeight="1" x14ac:dyDescent="0.3">
      <c r="A16" s="26" t="s">
        <v>39</v>
      </c>
      <c r="B16" s="26" t="s">
        <v>40</v>
      </c>
      <c r="C16" s="122">
        <f t="shared" ref="C16:H16" si="15">C17+C18</f>
        <v>228780000</v>
      </c>
      <c r="D16" s="122">
        <f t="shared" si="15"/>
        <v>187495173</v>
      </c>
      <c r="E16" s="122">
        <f t="shared" si="15"/>
        <v>108487500</v>
      </c>
      <c r="F16" s="122">
        <f t="shared" si="15"/>
        <v>108487500</v>
      </c>
      <c r="G16" s="134">
        <f t="shared" si="15"/>
        <v>0</v>
      </c>
      <c r="H16" s="134">
        <f t="shared" si="15"/>
        <v>0</v>
      </c>
      <c r="I16" s="122">
        <f>I17+I18</f>
        <v>46023207</v>
      </c>
      <c r="J16" s="122">
        <f t="shared" si="14"/>
        <v>46023207</v>
      </c>
      <c r="K16" s="134">
        <f t="shared" ref="K16:L16" si="16">K17+K18</f>
        <v>0</v>
      </c>
      <c r="L16" s="134">
        <f t="shared" si="16"/>
        <v>0</v>
      </c>
      <c r="M16" s="122">
        <f t="shared" si="7"/>
        <v>154510707</v>
      </c>
      <c r="N16" s="122">
        <f t="shared" si="8"/>
        <v>154510707</v>
      </c>
      <c r="O16" s="122">
        <f t="shared" si="9"/>
        <v>0</v>
      </c>
      <c r="P16" s="134">
        <f t="shared" ref="P16" si="17">P17+P18</f>
        <v>0</v>
      </c>
      <c r="Q16" s="122">
        <f>Q17+Q18</f>
        <v>0</v>
      </c>
      <c r="R16" s="122">
        <f>R17+R18</f>
        <v>0</v>
      </c>
      <c r="S16" s="134">
        <f t="shared" ref="S16:T16" si="18">S17+S18</f>
        <v>0</v>
      </c>
      <c r="T16" s="134">
        <f t="shared" si="18"/>
        <v>0</v>
      </c>
      <c r="U16" s="122">
        <f t="shared" si="11"/>
        <v>154510707</v>
      </c>
      <c r="V16" s="122">
        <f t="shared" si="12"/>
        <v>154510707</v>
      </c>
      <c r="W16" s="122">
        <f t="shared" si="13"/>
        <v>0</v>
      </c>
      <c r="X16" s="134">
        <f t="shared" ref="X16" si="19">X17+X18</f>
        <v>0</v>
      </c>
    </row>
    <row r="17" spans="1:24" ht="17.100000000000001" customHeight="1" x14ac:dyDescent="0.3">
      <c r="A17" s="23" t="s">
        <v>41</v>
      </c>
      <c r="B17" s="23" t="s">
        <v>42</v>
      </c>
      <c r="C17" s="24">
        <v>58131000</v>
      </c>
      <c r="D17" s="24">
        <v>16447789</v>
      </c>
      <c r="E17" s="24">
        <v>0</v>
      </c>
      <c r="F17" s="24">
        <v>0</v>
      </c>
      <c r="G17" s="25">
        <v>0</v>
      </c>
      <c r="H17" s="25">
        <v>0</v>
      </c>
      <c r="I17" s="24">
        <v>2584323</v>
      </c>
      <c r="J17" s="24">
        <f t="shared" si="14"/>
        <v>2584323</v>
      </c>
      <c r="K17" s="25"/>
      <c r="L17" s="25">
        <v>0</v>
      </c>
      <c r="M17" s="24">
        <f t="shared" si="7"/>
        <v>2584323</v>
      </c>
      <c r="N17" s="24">
        <f t="shared" si="8"/>
        <v>2584323</v>
      </c>
      <c r="O17" s="24">
        <f t="shared" si="9"/>
        <v>0</v>
      </c>
      <c r="P17" s="25">
        <v>0</v>
      </c>
      <c r="Q17" s="24">
        <f>22500184</f>
        <v>22500184</v>
      </c>
      <c r="R17" s="24">
        <f>22500184</f>
        <v>22500184</v>
      </c>
      <c r="S17" s="25"/>
      <c r="T17" s="25">
        <v>0</v>
      </c>
      <c r="U17" s="24">
        <f t="shared" si="11"/>
        <v>25084507</v>
      </c>
      <c r="V17" s="24">
        <f t="shared" si="12"/>
        <v>25084507</v>
      </c>
      <c r="W17" s="24">
        <f t="shared" si="13"/>
        <v>0</v>
      </c>
      <c r="X17" s="25">
        <v>0</v>
      </c>
    </row>
    <row r="18" spans="1:24" ht="17.100000000000001" customHeight="1" x14ac:dyDescent="0.3">
      <c r="A18" s="23" t="s">
        <v>43</v>
      </c>
      <c r="B18" s="23" t="s">
        <v>44</v>
      </c>
      <c r="C18" s="24">
        <v>170649000</v>
      </c>
      <c r="D18" s="24">
        <f>166424264+4623120</f>
        <v>171047384</v>
      </c>
      <c r="E18" s="24">
        <v>108487500</v>
      </c>
      <c r="F18" s="24">
        <v>108487500</v>
      </c>
      <c r="G18" s="25">
        <v>0</v>
      </c>
      <c r="H18" s="25">
        <v>0</v>
      </c>
      <c r="I18" s="24">
        <v>43438884</v>
      </c>
      <c r="J18" s="24">
        <f t="shared" si="14"/>
        <v>43438884</v>
      </c>
      <c r="K18" s="25"/>
      <c r="L18" s="25">
        <v>0</v>
      </c>
      <c r="M18" s="24">
        <f t="shared" si="7"/>
        <v>151926384</v>
      </c>
      <c r="N18" s="24">
        <f t="shared" si="8"/>
        <v>151926384</v>
      </c>
      <c r="O18" s="24">
        <f t="shared" si="9"/>
        <v>0</v>
      </c>
      <c r="P18" s="25">
        <v>0</v>
      </c>
      <c r="Q18" s="24">
        <f>-22500184</f>
        <v>-22500184</v>
      </c>
      <c r="R18" s="24">
        <f>-22500184</f>
        <v>-22500184</v>
      </c>
      <c r="S18" s="25"/>
      <c r="T18" s="25">
        <v>0</v>
      </c>
      <c r="U18" s="24">
        <f t="shared" si="11"/>
        <v>129426200</v>
      </c>
      <c r="V18" s="24">
        <f t="shared" si="12"/>
        <v>129426200</v>
      </c>
      <c r="W18" s="24">
        <f t="shared" si="13"/>
        <v>0</v>
      </c>
      <c r="X18" s="25">
        <v>0</v>
      </c>
    </row>
    <row r="19" spans="1:24" ht="17.100000000000001" customHeight="1" x14ac:dyDescent="0.3">
      <c r="A19" s="26" t="s">
        <v>45</v>
      </c>
      <c r="B19" s="26" t="s">
        <v>46</v>
      </c>
      <c r="C19" s="122">
        <f t="shared" ref="C19:H19" si="20">C21+C25+C20</f>
        <v>134700000</v>
      </c>
      <c r="D19" s="122">
        <f t="shared" si="20"/>
        <v>148273533</v>
      </c>
      <c r="E19" s="122">
        <f t="shared" si="20"/>
        <v>132700000</v>
      </c>
      <c r="F19" s="122">
        <f t="shared" si="20"/>
        <v>93464450</v>
      </c>
      <c r="G19" s="122">
        <f t="shared" si="20"/>
        <v>39235550</v>
      </c>
      <c r="H19" s="122">
        <f t="shared" si="20"/>
        <v>0</v>
      </c>
      <c r="I19" s="122">
        <f t="shared" ref="I19:L19" si="21">I21+I25+I20</f>
        <v>0</v>
      </c>
      <c r="J19" s="122">
        <f t="shared" si="14"/>
        <v>0</v>
      </c>
      <c r="K19" s="122">
        <f t="shared" si="21"/>
        <v>1000000</v>
      </c>
      <c r="L19" s="122">
        <f t="shared" si="21"/>
        <v>0</v>
      </c>
      <c r="M19" s="122">
        <f t="shared" si="7"/>
        <v>132700000</v>
      </c>
      <c r="N19" s="122">
        <f t="shared" si="8"/>
        <v>93464450</v>
      </c>
      <c r="O19" s="122">
        <f t="shared" si="9"/>
        <v>40235550</v>
      </c>
      <c r="P19" s="122">
        <f t="shared" ref="P19:Q19" si="22">P21+P25+P20</f>
        <v>0</v>
      </c>
      <c r="Q19" s="122">
        <f t="shared" si="22"/>
        <v>14000000</v>
      </c>
      <c r="R19" s="122">
        <f t="shared" ref="R19" si="23">R21+R25+R20</f>
        <v>44052500</v>
      </c>
      <c r="S19" s="122">
        <f t="shared" ref="S19:T19" si="24">S21+S25+S20</f>
        <v>-30052500</v>
      </c>
      <c r="T19" s="122">
        <f t="shared" si="24"/>
        <v>0</v>
      </c>
      <c r="U19" s="122">
        <f t="shared" si="11"/>
        <v>146700000</v>
      </c>
      <c r="V19" s="122">
        <f t="shared" si="12"/>
        <v>137516950</v>
      </c>
      <c r="W19" s="122">
        <f t="shared" si="13"/>
        <v>10183050</v>
      </c>
      <c r="X19" s="122">
        <f t="shared" ref="X19" si="25">X21+X25+X20</f>
        <v>0</v>
      </c>
    </row>
    <row r="20" spans="1:24" ht="17.100000000000001" customHeight="1" x14ac:dyDescent="0.3">
      <c r="A20" s="23" t="s">
        <v>5</v>
      </c>
      <c r="B20" s="23" t="s">
        <v>487</v>
      </c>
      <c r="C20" s="123">
        <v>80000000</v>
      </c>
      <c r="D20" s="123">
        <v>79975810</v>
      </c>
      <c r="E20" s="123">
        <v>80000000</v>
      </c>
      <c r="F20" s="123">
        <f>+E20-G20</f>
        <v>40764450</v>
      </c>
      <c r="G20" s="135">
        <f>37735550+1500000</f>
        <v>39235550</v>
      </c>
      <c r="H20" s="135">
        <v>0</v>
      </c>
      <c r="I20" s="123"/>
      <c r="J20" s="123">
        <v>-1000000</v>
      </c>
      <c r="K20" s="135">
        <v>1000000</v>
      </c>
      <c r="L20" s="135">
        <v>0</v>
      </c>
      <c r="M20" s="123">
        <f t="shared" si="7"/>
        <v>80000000</v>
      </c>
      <c r="N20" s="123">
        <f t="shared" si="8"/>
        <v>39764450</v>
      </c>
      <c r="O20" s="123">
        <f t="shared" si="9"/>
        <v>40235550</v>
      </c>
      <c r="P20" s="135">
        <v>0</v>
      </c>
      <c r="Q20" s="123">
        <f>R20+S20+T20</f>
        <v>0</v>
      </c>
      <c r="R20" s="123">
        <f>27557500+1300000+1195000</f>
        <v>30052500</v>
      </c>
      <c r="S20" s="135">
        <f>-27557500-1300000-1195000</f>
        <v>-30052500</v>
      </c>
      <c r="T20" s="135">
        <v>0</v>
      </c>
      <c r="U20" s="123">
        <f t="shared" si="11"/>
        <v>80000000</v>
      </c>
      <c r="V20" s="123">
        <f t="shared" si="12"/>
        <v>69816950</v>
      </c>
      <c r="W20" s="123">
        <f>O20+S20</f>
        <v>10183050</v>
      </c>
      <c r="X20" s="135">
        <v>0</v>
      </c>
    </row>
    <row r="21" spans="1:24" ht="17.100000000000001" customHeight="1" x14ac:dyDescent="0.3">
      <c r="A21" s="23" t="s">
        <v>47</v>
      </c>
      <c r="B21" s="23" t="s">
        <v>7</v>
      </c>
      <c r="C21" s="123">
        <f>SUM(C22:C24)</f>
        <v>51000000</v>
      </c>
      <c r="D21" s="123">
        <f>SUM(D22:D24)</f>
        <v>63889750</v>
      </c>
      <c r="E21" s="123">
        <f>SUM(E22:E24)</f>
        <v>50000000</v>
      </c>
      <c r="F21" s="123">
        <f>SUM(F22:F24)</f>
        <v>50000000</v>
      </c>
      <c r="G21" s="123">
        <f>SUM(G22:G24)</f>
        <v>0</v>
      </c>
      <c r="H21" s="135">
        <v>0</v>
      </c>
      <c r="I21" s="123">
        <f>SUM(I22:I24)</f>
        <v>0</v>
      </c>
      <c r="J21" s="123">
        <f t="shared" si="14"/>
        <v>0</v>
      </c>
      <c r="K21" s="123">
        <f>SUM(K22:K24)</f>
        <v>0</v>
      </c>
      <c r="L21" s="135">
        <v>0</v>
      </c>
      <c r="M21" s="123">
        <f t="shared" si="7"/>
        <v>50000000</v>
      </c>
      <c r="N21" s="123">
        <f t="shared" si="8"/>
        <v>50000000</v>
      </c>
      <c r="O21" s="123">
        <f t="shared" si="9"/>
        <v>0</v>
      </c>
      <c r="P21" s="135">
        <v>0</v>
      </c>
      <c r="Q21" s="123">
        <f>SUM(Q22:Q24)</f>
        <v>12000000</v>
      </c>
      <c r="R21" s="123">
        <f>SUM(R22:R24)</f>
        <v>12000000</v>
      </c>
      <c r="S21" s="123">
        <f>SUM(S22:S24)</f>
        <v>0</v>
      </c>
      <c r="T21" s="135">
        <v>0</v>
      </c>
      <c r="U21" s="123">
        <f t="shared" si="11"/>
        <v>62000000</v>
      </c>
      <c r="V21" s="123">
        <f t="shared" si="12"/>
        <v>62000000</v>
      </c>
      <c r="W21" s="123">
        <f t="shared" si="13"/>
        <v>0</v>
      </c>
      <c r="X21" s="135">
        <v>0</v>
      </c>
    </row>
    <row r="22" spans="1:24" s="1" customFormat="1" ht="17.100000000000001" customHeight="1" x14ac:dyDescent="0.3">
      <c r="A22" s="23" t="s">
        <v>48</v>
      </c>
      <c r="B22" s="23" t="s">
        <v>49</v>
      </c>
      <c r="C22" s="24">
        <v>34000000</v>
      </c>
      <c r="D22" s="24">
        <v>38780485</v>
      </c>
      <c r="E22" s="24">
        <v>30000000</v>
      </c>
      <c r="F22" s="24">
        <v>30000000</v>
      </c>
      <c r="G22" s="25"/>
      <c r="H22" s="25">
        <v>0</v>
      </c>
      <c r="I22" s="24"/>
      <c r="J22" s="24">
        <f t="shared" si="14"/>
        <v>0</v>
      </c>
      <c r="K22" s="25"/>
      <c r="L22" s="25">
        <v>0</v>
      </c>
      <c r="M22" s="24">
        <f t="shared" si="7"/>
        <v>30000000</v>
      </c>
      <c r="N22" s="24">
        <f t="shared" si="8"/>
        <v>30000000</v>
      </c>
      <c r="O22" s="24">
        <f t="shared" si="9"/>
        <v>0</v>
      </c>
      <c r="P22" s="25">
        <v>0</v>
      </c>
      <c r="Q22" s="24">
        <f>8000000</f>
        <v>8000000</v>
      </c>
      <c r="R22" s="24">
        <v>8000000</v>
      </c>
      <c r="S22" s="25"/>
      <c r="T22" s="25">
        <v>0</v>
      </c>
      <c r="U22" s="24">
        <f t="shared" si="11"/>
        <v>38000000</v>
      </c>
      <c r="V22" s="24">
        <f t="shared" si="12"/>
        <v>38000000</v>
      </c>
      <c r="W22" s="24">
        <f t="shared" si="13"/>
        <v>0</v>
      </c>
      <c r="X22" s="25">
        <v>0</v>
      </c>
    </row>
    <row r="23" spans="1:24" s="1" customFormat="1" ht="17.100000000000001" customHeight="1" x14ac:dyDescent="0.3">
      <c r="A23" s="23" t="s">
        <v>50</v>
      </c>
      <c r="B23" s="23" t="s">
        <v>51</v>
      </c>
      <c r="C23" s="24"/>
      <c r="D23" s="24"/>
      <c r="E23" s="24"/>
      <c r="F23" s="24"/>
      <c r="G23" s="25"/>
      <c r="H23" s="25">
        <v>0</v>
      </c>
      <c r="I23" s="24"/>
      <c r="J23" s="24">
        <f t="shared" si="14"/>
        <v>0</v>
      </c>
      <c r="K23" s="25"/>
      <c r="L23" s="25">
        <v>0</v>
      </c>
      <c r="M23" s="24">
        <f t="shared" si="7"/>
        <v>0</v>
      </c>
      <c r="N23" s="24">
        <f t="shared" si="8"/>
        <v>0</v>
      </c>
      <c r="O23" s="24">
        <f t="shared" si="9"/>
        <v>0</v>
      </c>
      <c r="P23" s="25">
        <v>0</v>
      </c>
      <c r="Q23" s="24"/>
      <c r="R23" s="24"/>
      <c r="S23" s="25"/>
      <c r="T23" s="25">
        <v>0</v>
      </c>
      <c r="U23" s="24">
        <f t="shared" si="11"/>
        <v>0</v>
      </c>
      <c r="V23" s="24">
        <f t="shared" si="12"/>
        <v>0</v>
      </c>
      <c r="W23" s="24">
        <f t="shared" si="13"/>
        <v>0</v>
      </c>
      <c r="X23" s="25">
        <v>0</v>
      </c>
    </row>
    <row r="24" spans="1:24" s="1" customFormat="1" ht="17.100000000000001" customHeight="1" x14ac:dyDescent="0.3">
      <c r="A24" s="23" t="s">
        <v>52</v>
      </c>
      <c r="B24" s="23" t="s">
        <v>8</v>
      </c>
      <c r="C24" s="24">
        <v>17000000</v>
      </c>
      <c r="D24" s="24">
        <v>25109265</v>
      </c>
      <c r="E24" s="24">
        <v>20000000</v>
      </c>
      <c r="F24" s="24">
        <v>20000000</v>
      </c>
      <c r="G24" s="25"/>
      <c r="H24" s="25">
        <v>0</v>
      </c>
      <c r="I24" s="24"/>
      <c r="J24" s="24">
        <f t="shared" si="14"/>
        <v>0</v>
      </c>
      <c r="K24" s="25"/>
      <c r="L24" s="25">
        <v>0</v>
      </c>
      <c r="M24" s="24">
        <f t="shared" si="7"/>
        <v>20000000</v>
      </c>
      <c r="N24" s="24">
        <f t="shared" si="8"/>
        <v>20000000</v>
      </c>
      <c r="O24" s="24">
        <f t="shared" si="9"/>
        <v>0</v>
      </c>
      <c r="P24" s="25">
        <v>0</v>
      </c>
      <c r="Q24" s="24">
        <f>4000000</f>
        <v>4000000</v>
      </c>
      <c r="R24" s="24">
        <v>4000000</v>
      </c>
      <c r="S24" s="25"/>
      <c r="T24" s="25">
        <v>0</v>
      </c>
      <c r="U24" s="24">
        <f t="shared" si="11"/>
        <v>24000000</v>
      </c>
      <c r="V24" s="24">
        <f t="shared" si="12"/>
        <v>24000000</v>
      </c>
      <c r="W24" s="24">
        <f t="shared" si="13"/>
        <v>0</v>
      </c>
      <c r="X24" s="25">
        <v>0</v>
      </c>
    </row>
    <row r="25" spans="1:24" ht="17.100000000000001" customHeight="1" x14ac:dyDescent="0.3">
      <c r="A25" s="23" t="s">
        <v>53</v>
      </c>
      <c r="B25" s="23" t="s">
        <v>488</v>
      </c>
      <c r="C25" s="24">
        <v>3700000</v>
      </c>
      <c r="D25" s="24">
        <f>3101630+1083143+223200</f>
        <v>4407973</v>
      </c>
      <c r="E25" s="24">
        <v>2700000</v>
      </c>
      <c r="F25" s="24">
        <v>2700000</v>
      </c>
      <c r="G25" s="25"/>
      <c r="H25" s="25">
        <v>0</v>
      </c>
      <c r="I25" s="24"/>
      <c r="J25" s="24">
        <f t="shared" si="14"/>
        <v>0</v>
      </c>
      <c r="K25" s="25"/>
      <c r="L25" s="25">
        <v>0</v>
      </c>
      <c r="M25" s="24">
        <f t="shared" si="7"/>
        <v>2700000</v>
      </c>
      <c r="N25" s="24">
        <f t="shared" si="8"/>
        <v>2700000</v>
      </c>
      <c r="O25" s="24">
        <f t="shared" si="9"/>
        <v>0</v>
      </c>
      <c r="P25" s="25">
        <v>0</v>
      </c>
      <c r="Q25" s="24">
        <f>2000000</f>
        <v>2000000</v>
      </c>
      <c r="R25" s="24">
        <f>2000000</f>
        <v>2000000</v>
      </c>
      <c r="S25" s="25"/>
      <c r="T25" s="25">
        <v>0</v>
      </c>
      <c r="U25" s="24">
        <f t="shared" si="11"/>
        <v>4700000</v>
      </c>
      <c r="V25" s="24">
        <f t="shared" si="12"/>
        <v>4700000</v>
      </c>
      <c r="W25" s="24">
        <f t="shared" si="13"/>
        <v>0</v>
      </c>
      <c r="X25" s="25">
        <v>0</v>
      </c>
    </row>
    <row r="26" spans="1:24" ht="17.100000000000001" customHeight="1" x14ac:dyDescent="0.3">
      <c r="A26" s="26" t="s">
        <v>55</v>
      </c>
      <c r="B26" s="26" t="s">
        <v>56</v>
      </c>
      <c r="C26" s="122">
        <f t="shared" ref="C26:H26" si="26">SUM(C27:C35)</f>
        <v>170777330</v>
      </c>
      <c r="D26" s="122">
        <f t="shared" si="26"/>
        <v>171441924</v>
      </c>
      <c r="E26" s="122">
        <f t="shared" si="26"/>
        <v>141911758</v>
      </c>
      <c r="F26" s="122">
        <f t="shared" ref="F26" si="27">SUM(F27:F35)</f>
        <v>22328558</v>
      </c>
      <c r="G26" s="134">
        <f t="shared" si="26"/>
        <v>119583200</v>
      </c>
      <c r="H26" s="134">
        <f t="shared" si="26"/>
        <v>0</v>
      </c>
      <c r="I26" s="122">
        <f t="shared" ref="I26" si="28">SUM(I27:I35)</f>
        <v>-73</v>
      </c>
      <c r="J26" s="134">
        <f t="shared" ref="J26:L26" si="29">SUM(J27:J35)</f>
        <v>-73</v>
      </c>
      <c r="K26" s="134">
        <f t="shared" si="29"/>
        <v>0</v>
      </c>
      <c r="L26" s="134">
        <f t="shared" si="29"/>
        <v>0</v>
      </c>
      <c r="M26" s="122">
        <f t="shared" si="7"/>
        <v>141911685</v>
      </c>
      <c r="N26" s="122">
        <f t="shared" si="8"/>
        <v>22328485</v>
      </c>
      <c r="O26" s="122">
        <f t="shared" si="9"/>
        <v>119583200</v>
      </c>
      <c r="P26" s="134">
        <f t="shared" ref="P26:T26" si="30">SUM(P27:P35)</f>
        <v>0</v>
      </c>
      <c r="Q26" s="122">
        <f t="shared" si="30"/>
        <v>61454000</v>
      </c>
      <c r="R26" s="122">
        <f t="shared" ref="R26" si="31">SUM(R27:R35)</f>
        <v>5995000</v>
      </c>
      <c r="S26" s="134">
        <f t="shared" si="30"/>
        <v>55459000</v>
      </c>
      <c r="T26" s="134">
        <f t="shared" si="30"/>
        <v>0</v>
      </c>
      <c r="U26" s="122">
        <f t="shared" si="11"/>
        <v>203365685</v>
      </c>
      <c r="V26" s="122">
        <f t="shared" si="12"/>
        <v>28323485</v>
      </c>
      <c r="W26" s="122">
        <f t="shared" si="13"/>
        <v>175042200</v>
      </c>
      <c r="X26" s="134">
        <f t="shared" ref="X26" si="32">SUM(X27:X35)</f>
        <v>0</v>
      </c>
    </row>
    <row r="27" spans="1:24" ht="17.100000000000001" customHeight="1" x14ac:dyDescent="0.3">
      <c r="A27" s="23" t="s">
        <v>57</v>
      </c>
      <c r="B27" s="23" t="s">
        <v>58</v>
      </c>
      <c r="C27" s="146">
        <v>129300000</v>
      </c>
      <c r="D27" s="24">
        <f>101110247+28237720</f>
        <v>129347967</v>
      </c>
      <c r="E27" s="24">
        <v>107140000</v>
      </c>
      <c r="F27" s="24">
        <f>E27-G27</f>
        <v>12980000</v>
      </c>
      <c r="G27" s="25">
        <f>80000000+13800000+360000</f>
        <v>94160000</v>
      </c>
      <c r="H27" s="25">
        <v>0</v>
      </c>
      <c r="I27" s="24"/>
      <c r="J27" s="24">
        <f t="shared" si="14"/>
        <v>0</v>
      </c>
      <c r="K27" s="25"/>
      <c r="L27" s="25">
        <v>0</v>
      </c>
      <c r="M27" s="24">
        <f t="shared" si="7"/>
        <v>107140000</v>
      </c>
      <c r="N27" s="24">
        <f t="shared" si="8"/>
        <v>12980000</v>
      </c>
      <c r="O27" s="24">
        <f t="shared" si="9"/>
        <v>94160000</v>
      </c>
      <c r="P27" s="25">
        <v>0</v>
      </c>
      <c r="Q27" s="24">
        <f>2700000+37700000+220000+300000+1300000+2100000+1300000+2000000</f>
        <v>47620000</v>
      </c>
      <c r="R27" s="24">
        <f>220000+300000+1300000+2100000</f>
        <v>3920000</v>
      </c>
      <c r="S27" s="25">
        <f>2700000+37700000+1300000+2000000</f>
        <v>43700000</v>
      </c>
      <c r="T27" s="25">
        <v>0</v>
      </c>
      <c r="U27" s="24">
        <f t="shared" si="11"/>
        <v>154760000</v>
      </c>
      <c r="V27" s="24">
        <f t="shared" si="12"/>
        <v>16900000</v>
      </c>
      <c r="W27" s="24">
        <f>O27+S27</f>
        <v>137860000</v>
      </c>
      <c r="X27" s="25">
        <v>0</v>
      </c>
    </row>
    <row r="28" spans="1:24" ht="17.100000000000001" customHeight="1" x14ac:dyDescent="0.3">
      <c r="A28" s="23" t="s">
        <v>59</v>
      </c>
      <c r="B28" s="23" t="s">
        <v>60</v>
      </c>
      <c r="C28" s="146">
        <v>2200000</v>
      </c>
      <c r="D28" s="24">
        <f>758358+1629752</f>
        <v>2388110</v>
      </c>
      <c r="E28" s="24">
        <v>2100000</v>
      </c>
      <c r="F28" s="24">
        <v>2100000</v>
      </c>
      <c r="G28" s="25"/>
      <c r="H28" s="25">
        <v>0</v>
      </c>
      <c r="I28" s="24"/>
      <c r="J28" s="24">
        <f t="shared" si="14"/>
        <v>0</v>
      </c>
      <c r="K28" s="25"/>
      <c r="L28" s="25">
        <v>0</v>
      </c>
      <c r="M28" s="24">
        <f t="shared" si="7"/>
        <v>2100000</v>
      </c>
      <c r="N28" s="24">
        <f t="shared" si="8"/>
        <v>2100000</v>
      </c>
      <c r="O28" s="24">
        <f t="shared" si="9"/>
        <v>0</v>
      </c>
      <c r="P28" s="25">
        <v>0</v>
      </c>
      <c r="Q28" s="24"/>
      <c r="R28" s="24"/>
      <c r="S28" s="25"/>
      <c r="T28" s="25">
        <v>0</v>
      </c>
      <c r="U28" s="24">
        <f t="shared" si="11"/>
        <v>2100000</v>
      </c>
      <c r="V28" s="24">
        <f t="shared" si="12"/>
        <v>2100000</v>
      </c>
      <c r="W28" s="24">
        <f t="shared" si="13"/>
        <v>0</v>
      </c>
      <c r="X28" s="25">
        <v>0</v>
      </c>
    </row>
    <row r="29" spans="1:24" ht="17.100000000000001" customHeight="1" x14ac:dyDescent="0.3">
      <c r="A29" s="23" t="s">
        <v>61</v>
      </c>
      <c r="B29" s="23" t="s">
        <v>62</v>
      </c>
      <c r="C29" s="24"/>
      <c r="D29" s="24"/>
      <c r="E29" s="24"/>
      <c r="F29" s="24"/>
      <c r="G29" s="25"/>
      <c r="H29" s="25">
        <v>0</v>
      </c>
      <c r="I29" s="24"/>
      <c r="J29" s="24">
        <f t="shared" si="14"/>
        <v>0</v>
      </c>
      <c r="K29" s="25"/>
      <c r="L29" s="25">
        <v>0</v>
      </c>
      <c r="M29" s="24">
        <f t="shared" si="7"/>
        <v>0</v>
      </c>
      <c r="N29" s="24">
        <f t="shared" si="8"/>
        <v>0</v>
      </c>
      <c r="O29" s="24">
        <f t="shared" si="9"/>
        <v>0</v>
      </c>
      <c r="P29" s="25">
        <v>0</v>
      </c>
      <c r="Q29" s="24"/>
      <c r="R29" s="24"/>
      <c r="S29" s="25"/>
      <c r="T29" s="25">
        <v>0</v>
      </c>
      <c r="U29" s="24">
        <f t="shared" si="11"/>
        <v>0</v>
      </c>
      <c r="V29" s="24">
        <f t="shared" si="12"/>
        <v>0</v>
      </c>
      <c r="W29" s="24">
        <f t="shared" si="13"/>
        <v>0</v>
      </c>
      <c r="X29" s="25">
        <v>0</v>
      </c>
    </row>
    <row r="30" spans="1:24" ht="17.100000000000001" customHeight="1" x14ac:dyDescent="0.3">
      <c r="A30" s="23" t="s">
        <v>63</v>
      </c>
      <c r="B30" s="23" t="s">
        <v>64</v>
      </c>
      <c r="C30" s="146">
        <v>3000000</v>
      </c>
      <c r="D30" s="24">
        <f>2889035</f>
        <v>2889035</v>
      </c>
      <c r="E30" s="24">
        <v>2500000</v>
      </c>
      <c r="F30" s="24">
        <v>2500000</v>
      </c>
      <c r="G30" s="25"/>
      <c r="H30" s="25">
        <v>0</v>
      </c>
      <c r="I30" s="24"/>
      <c r="J30" s="24">
        <f t="shared" si="14"/>
        <v>0</v>
      </c>
      <c r="K30" s="25"/>
      <c r="L30" s="25">
        <v>0</v>
      </c>
      <c r="M30" s="24">
        <f t="shared" si="7"/>
        <v>2500000</v>
      </c>
      <c r="N30" s="24">
        <f t="shared" si="8"/>
        <v>2500000</v>
      </c>
      <c r="O30" s="24">
        <f t="shared" si="9"/>
        <v>0</v>
      </c>
      <c r="P30" s="25">
        <v>0</v>
      </c>
      <c r="Q30" s="24">
        <f>800000</f>
        <v>800000</v>
      </c>
      <c r="R30" s="24">
        <f>800000</f>
        <v>800000</v>
      </c>
      <c r="S30" s="25"/>
      <c r="T30" s="25">
        <v>0</v>
      </c>
      <c r="U30" s="24">
        <f t="shared" si="11"/>
        <v>3300000</v>
      </c>
      <c r="V30" s="24">
        <f t="shared" si="12"/>
        <v>3300000</v>
      </c>
      <c r="W30" s="24">
        <f t="shared" si="13"/>
        <v>0</v>
      </c>
      <c r="X30" s="25">
        <v>0</v>
      </c>
    </row>
    <row r="31" spans="1:24" ht="17.100000000000001" customHeight="1" x14ac:dyDescent="0.3">
      <c r="A31" s="23" t="s">
        <v>65</v>
      </c>
      <c r="B31" s="23" t="s">
        <v>66</v>
      </c>
      <c r="C31" s="146">
        <f>35936000</f>
        <v>35936000</v>
      </c>
      <c r="D31" s="24">
        <v>36476333</v>
      </c>
      <c r="E31" s="24">
        <v>30169800</v>
      </c>
      <c r="F31" s="24">
        <f>E31-G31</f>
        <v>4746600</v>
      </c>
      <c r="G31" s="25">
        <f>G27*0.27</f>
        <v>25423200</v>
      </c>
      <c r="H31" s="25"/>
      <c r="I31" s="24"/>
      <c r="J31" s="24">
        <f t="shared" si="14"/>
        <v>0</v>
      </c>
      <c r="K31" s="25"/>
      <c r="L31" s="25"/>
      <c r="M31" s="24">
        <f t="shared" si="7"/>
        <v>30169800</v>
      </c>
      <c r="N31" s="24">
        <f t="shared" si="8"/>
        <v>4746600</v>
      </c>
      <c r="O31" s="24">
        <f t="shared" si="9"/>
        <v>25423200</v>
      </c>
      <c r="P31" s="25"/>
      <c r="Q31" s="24">
        <f>729000+10179000+60000+81000+351000+216000+567000+351000+500000</f>
        <v>13034000</v>
      </c>
      <c r="R31" s="24">
        <f>60000+81000+351000+216000+567000</f>
        <v>1275000</v>
      </c>
      <c r="S31" s="25">
        <f>729000+10179000+351000+500000</f>
        <v>11759000</v>
      </c>
      <c r="T31" s="25"/>
      <c r="U31" s="24">
        <f t="shared" si="11"/>
        <v>43203800</v>
      </c>
      <c r="V31" s="24">
        <f t="shared" si="12"/>
        <v>6021600</v>
      </c>
      <c r="W31" s="24">
        <f t="shared" si="13"/>
        <v>37182200</v>
      </c>
      <c r="X31" s="25"/>
    </row>
    <row r="32" spans="1:24" ht="17.100000000000001" customHeight="1" x14ac:dyDescent="0.3">
      <c r="A32" s="23" t="s">
        <v>10</v>
      </c>
      <c r="B32" s="23" t="s">
        <v>11</v>
      </c>
      <c r="C32" s="146"/>
      <c r="D32" s="24"/>
      <c r="E32" s="24"/>
      <c r="F32" s="24"/>
      <c r="G32" s="25"/>
      <c r="H32" s="25">
        <v>0</v>
      </c>
      <c r="I32" s="24"/>
      <c r="J32" s="24">
        <f t="shared" si="14"/>
        <v>0</v>
      </c>
      <c r="K32" s="25"/>
      <c r="L32" s="25">
        <v>0</v>
      </c>
      <c r="M32" s="24">
        <f t="shared" si="7"/>
        <v>0</v>
      </c>
      <c r="N32" s="24">
        <f t="shared" si="8"/>
        <v>0</v>
      </c>
      <c r="O32" s="24">
        <f t="shared" si="9"/>
        <v>0</v>
      </c>
      <c r="P32" s="25">
        <v>0</v>
      </c>
      <c r="Q32" s="24"/>
      <c r="R32" s="24"/>
      <c r="S32" s="25"/>
      <c r="T32" s="25">
        <v>0</v>
      </c>
      <c r="U32" s="24">
        <f t="shared" si="11"/>
        <v>0</v>
      </c>
      <c r="V32" s="24">
        <f t="shared" si="12"/>
        <v>0</v>
      </c>
      <c r="W32" s="24">
        <f t="shared" si="13"/>
        <v>0</v>
      </c>
      <c r="X32" s="25">
        <v>0</v>
      </c>
    </row>
    <row r="33" spans="1:24" ht="17.100000000000001" customHeight="1" x14ac:dyDescent="0.3">
      <c r="A33" s="23" t="s">
        <v>67</v>
      </c>
      <c r="B33" s="23" t="s">
        <v>68</v>
      </c>
      <c r="C33" s="146">
        <v>1000</v>
      </c>
      <c r="D33" s="24">
        <v>485</v>
      </c>
      <c r="E33" s="24">
        <v>1000</v>
      </c>
      <c r="F33" s="24">
        <v>1000</v>
      </c>
      <c r="G33" s="25"/>
      <c r="H33" s="25">
        <v>0</v>
      </c>
      <c r="I33" s="24"/>
      <c r="J33" s="24">
        <f t="shared" si="14"/>
        <v>0</v>
      </c>
      <c r="K33" s="25"/>
      <c r="L33" s="25">
        <v>0</v>
      </c>
      <c r="M33" s="24">
        <f t="shared" si="7"/>
        <v>1000</v>
      </c>
      <c r="N33" s="24">
        <f t="shared" si="8"/>
        <v>1000</v>
      </c>
      <c r="O33" s="24">
        <f t="shared" si="9"/>
        <v>0</v>
      </c>
      <c r="P33" s="25">
        <v>0</v>
      </c>
      <c r="Q33" s="24"/>
      <c r="R33" s="24"/>
      <c r="S33" s="25"/>
      <c r="T33" s="25">
        <v>0</v>
      </c>
      <c r="U33" s="24">
        <f t="shared" si="11"/>
        <v>1000</v>
      </c>
      <c r="V33" s="24">
        <f t="shared" si="12"/>
        <v>1000</v>
      </c>
      <c r="W33" s="24">
        <f t="shared" si="13"/>
        <v>0</v>
      </c>
      <c r="X33" s="25">
        <v>0</v>
      </c>
    </row>
    <row r="34" spans="1:24" ht="17.100000000000001" customHeight="1" x14ac:dyDescent="0.3">
      <c r="A34" s="23" t="s">
        <v>69</v>
      </c>
      <c r="B34" s="23" t="s">
        <v>70</v>
      </c>
      <c r="C34" s="24"/>
      <c r="D34" s="24"/>
      <c r="E34" s="24"/>
      <c r="F34" s="24"/>
      <c r="G34" s="25"/>
      <c r="H34" s="25">
        <v>0</v>
      </c>
      <c r="I34" s="24"/>
      <c r="J34" s="24">
        <f t="shared" si="14"/>
        <v>0</v>
      </c>
      <c r="K34" s="25"/>
      <c r="L34" s="25">
        <v>0</v>
      </c>
      <c r="M34" s="24">
        <f t="shared" si="7"/>
        <v>0</v>
      </c>
      <c r="N34" s="24">
        <f t="shared" si="8"/>
        <v>0</v>
      </c>
      <c r="O34" s="24">
        <f t="shared" si="9"/>
        <v>0</v>
      </c>
      <c r="P34" s="25">
        <v>0</v>
      </c>
      <c r="Q34" s="24"/>
      <c r="R34" s="24"/>
      <c r="S34" s="25"/>
      <c r="T34" s="25">
        <v>0</v>
      </c>
      <c r="U34" s="24">
        <f t="shared" si="11"/>
        <v>0</v>
      </c>
      <c r="V34" s="24">
        <f t="shared" si="12"/>
        <v>0</v>
      </c>
      <c r="W34" s="24">
        <f t="shared" si="13"/>
        <v>0</v>
      </c>
      <c r="X34" s="25">
        <v>0</v>
      </c>
    </row>
    <row r="35" spans="1:24" ht="17.100000000000001" customHeight="1" x14ac:dyDescent="0.3">
      <c r="A35" s="23" t="s">
        <v>71</v>
      </c>
      <c r="B35" s="23" t="s">
        <v>72</v>
      </c>
      <c r="C35" s="146">
        <v>340330</v>
      </c>
      <c r="D35" s="24">
        <f>10448+329546</f>
        <v>339994</v>
      </c>
      <c r="E35" s="24">
        <v>958</v>
      </c>
      <c r="F35" s="24">
        <v>958</v>
      </c>
      <c r="G35" s="25"/>
      <c r="H35" s="25">
        <v>0</v>
      </c>
      <c r="I35" s="24">
        <v>-73</v>
      </c>
      <c r="J35" s="24">
        <f t="shared" si="14"/>
        <v>-73</v>
      </c>
      <c r="K35" s="25"/>
      <c r="L35" s="25">
        <v>0</v>
      </c>
      <c r="M35" s="24">
        <f t="shared" si="7"/>
        <v>885</v>
      </c>
      <c r="N35" s="24">
        <f t="shared" si="8"/>
        <v>885</v>
      </c>
      <c r="O35" s="24">
        <f t="shared" si="9"/>
        <v>0</v>
      </c>
      <c r="P35" s="25">
        <v>0</v>
      </c>
      <c r="Q35" s="24"/>
      <c r="R35" s="24"/>
      <c r="S35" s="25"/>
      <c r="T35" s="25">
        <v>0</v>
      </c>
      <c r="U35" s="24">
        <f t="shared" si="11"/>
        <v>885</v>
      </c>
      <c r="V35" s="24">
        <f t="shared" si="12"/>
        <v>885</v>
      </c>
      <c r="W35" s="24">
        <f t="shared" si="13"/>
        <v>0</v>
      </c>
      <c r="X35" s="25">
        <v>0</v>
      </c>
    </row>
    <row r="36" spans="1:24" ht="17.100000000000001" customHeight="1" x14ac:dyDescent="0.3">
      <c r="A36" s="26" t="s">
        <v>73</v>
      </c>
      <c r="B36" s="26" t="s">
        <v>74</v>
      </c>
      <c r="C36" s="122">
        <f>SUM(C37:C38)</f>
        <v>3448000</v>
      </c>
      <c r="D36" s="122">
        <f t="shared" ref="D36:H36" si="33">SUM(D37:D38)</f>
        <v>3448441</v>
      </c>
      <c r="E36" s="122">
        <f t="shared" si="33"/>
        <v>12000000</v>
      </c>
      <c r="F36" s="122">
        <f t="shared" si="33"/>
        <v>12000000</v>
      </c>
      <c r="G36" s="136">
        <f t="shared" si="33"/>
        <v>0</v>
      </c>
      <c r="H36" s="136">
        <f t="shared" si="33"/>
        <v>0</v>
      </c>
      <c r="I36" s="122">
        <f t="shared" ref="I36:L36" si="34">SUM(I37:I38)</f>
        <v>0</v>
      </c>
      <c r="J36" s="122">
        <f t="shared" si="14"/>
        <v>0</v>
      </c>
      <c r="K36" s="136">
        <f t="shared" si="34"/>
        <v>0</v>
      </c>
      <c r="L36" s="136">
        <f t="shared" si="34"/>
        <v>0</v>
      </c>
      <c r="M36" s="122">
        <f t="shared" si="7"/>
        <v>12000000</v>
      </c>
      <c r="N36" s="122">
        <f t="shared" si="8"/>
        <v>12000000</v>
      </c>
      <c r="O36" s="122">
        <f t="shared" si="9"/>
        <v>0</v>
      </c>
      <c r="P36" s="136">
        <f t="shared" ref="P36:Q36" si="35">SUM(P37:P38)</f>
        <v>0</v>
      </c>
      <c r="Q36" s="122">
        <f t="shared" si="35"/>
        <v>0</v>
      </c>
      <c r="R36" s="122">
        <f t="shared" ref="R36" si="36">SUM(R37:R38)</f>
        <v>0</v>
      </c>
      <c r="S36" s="136">
        <f t="shared" ref="S36:T36" si="37">SUM(S37:S38)</f>
        <v>0</v>
      </c>
      <c r="T36" s="136">
        <f t="shared" si="37"/>
        <v>0</v>
      </c>
      <c r="U36" s="122">
        <f t="shared" si="11"/>
        <v>12000000</v>
      </c>
      <c r="V36" s="122">
        <f t="shared" si="12"/>
        <v>12000000</v>
      </c>
      <c r="W36" s="122">
        <f t="shared" si="13"/>
        <v>0</v>
      </c>
      <c r="X36" s="136">
        <f t="shared" ref="X36" si="38">SUM(X37:X38)</f>
        <v>0</v>
      </c>
    </row>
    <row r="37" spans="1:24" ht="17.100000000000001" customHeight="1" x14ac:dyDescent="0.3">
      <c r="A37" s="23" t="s">
        <v>75</v>
      </c>
      <c r="B37" s="23" t="s">
        <v>76</v>
      </c>
      <c r="C37" s="24">
        <v>2976000</v>
      </c>
      <c r="D37" s="24">
        <v>2976000</v>
      </c>
      <c r="E37" s="24">
        <v>12000000</v>
      </c>
      <c r="F37" s="24">
        <v>12000000</v>
      </c>
      <c r="G37" s="25">
        <v>0</v>
      </c>
      <c r="H37" s="25">
        <v>0</v>
      </c>
      <c r="I37" s="24"/>
      <c r="J37" s="24">
        <f t="shared" si="14"/>
        <v>0</v>
      </c>
      <c r="K37" s="25">
        <v>0</v>
      </c>
      <c r="L37" s="25">
        <v>0</v>
      </c>
      <c r="M37" s="24">
        <f t="shared" si="7"/>
        <v>12000000</v>
      </c>
      <c r="N37" s="24">
        <f t="shared" si="8"/>
        <v>12000000</v>
      </c>
      <c r="O37" s="24">
        <f t="shared" si="9"/>
        <v>0</v>
      </c>
      <c r="P37" s="25">
        <v>0</v>
      </c>
      <c r="Q37" s="24"/>
      <c r="R37" s="24"/>
      <c r="S37" s="25">
        <v>0</v>
      </c>
      <c r="T37" s="25">
        <v>0</v>
      </c>
      <c r="U37" s="24">
        <f t="shared" si="11"/>
        <v>12000000</v>
      </c>
      <c r="V37" s="24">
        <f t="shared" si="12"/>
        <v>12000000</v>
      </c>
      <c r="W37" s="24">
        <f t="shared" si="13"/>
        <v>0</v>
      </c>
      <c r="X37" s="25">
        <v>0</v>
      </c>
    </row>
    <row r="38" spans="1:24" ht="17.100000000000001" customHeight="1" x14ac:dyDescent="0.3">
      <c r="A38" s="23" t="s">
        <v>212</v>
      </c>
      <c r="B38" s="23" t="s">
        <v>432</v>
      </c>
      <c r="C38" s="24">
        <v>472000</v>
      </c>
      <c r="D38" s="24">
        <v>472441</v>
      </c>
      <c r="E38" s="24">
        <v>0</v>
      </c>
      <c r="F38" s="24">
        <v>0</v>
      </c>
      <c r="G38" s="25">
        <v>0</v>
      </c>
      <c r="H38" s="25">
        <v>0</v>
      </c>
      <c r="I38" s="24"/>
      <c r="J38" s="24">
        <f t="shared" si="14"/>
        <v>0</v>
      </c>
      <c r="K38" s="25">
        <v>0</v>
      </c>
      <c r="L38" s="25">
        <v>0</v>
      </c>
      <c r="M38" s="24">
        <f t="shared" si="7"/>
        <v>0</v>
      </c>
      <c r="N38" s="24">
        <f t="shared" si="8"/>
        <v>0</v>
      </c>
      <c r="O38" s="24">
        <f t="shared" si="9"/>
        <v>0</v>
      </c>
      <c r="P38" s="25">
        <v>0</v>
      </c>
      <c r="Q38" s="24"/>
      <c r="R38" s="24"/>
      <c r="S38" s="25">
        <v>0</v>
      </c>
      <c r="T38" s="25">
        <v>0</v>
      </c>
      <c r="U38" s="24">
        <f t="shared" si="11"/>
        <v>0</v>
      </c>
      <c r="V38" s="24">
        <f t="shared" si="12"/>
        <v>0</v>
      </c>
      <c r="W38" s="24">
        <f t="shared" si="13"/>
        <v>0</v>
      </c>
      <c r="X38" s="25">
        <v>0</v>
      </c>
    </row>
    <row r="39" spans="1:24" ht="17.100000000000001" customHeight="1" x14ac:dyDescent="0.3">
      <c r="A39" s="26" t="s">
        <v>77</v>
      </c>
      <c r="B39" s="26" t="s">
        <v>78</v>
      </c>
      <c r="C39" s="122">
        <f>SUM(C40:C40)</f>
        <v>0</v>
      </c>
      <c r="D39" s="122">
        <f>SUM(D40:D40)</f>
        <v>0</v>
      </c>
      <c r="E39" s="122">
        <f>SUM(E40:E40)</f>
        <v>0</v>
      </c>
      <c r="F39" s="122">
        <f>SUM(F40:F40)</f>
        <v>0</v>
      </c>
      <c r="G39" s="134">
        <v>0</v>
      </c>
      <c r="H39" s="134">
        <v>0</v>
      </c>
      <c r="I39" s="122">
        <f>SUM(I40:I40)</f>
        <v>0</v>
      </c>
      <c r="J39" s="122">
        <f t="shared" si="14"/>
        <v>0</v>
      </c>
      <c r="K39" s="134">
        <v>0</v>
      </c>
      <c r="L39" s="134">
        <v>0</v>
      </c>
      <c r="M39" s="122">
        <f t="shared" si="7"/>
        <v>0</v>
      </c>
      <c r="N39" s="122">
        <f t="shared" si="8"/>
        <v>0</v>
      </c>
      <c r="O39" s="122">
        <f t="shared" si="9"/>
        <v>0</v>
      </c>
      <c r="P39" s="134">
        <v>0</v>
      </c>
      <c r="Q39" s="122">
        <f>SUM(Q40:Q40)</f>
        <v>0</v>
      </c>
      <c r="R39" s="122">
        <f>SUM(R40:R40)</f>
        <v>0</v>
      </c>
      <c r="S39" s="134">
        <v>0</v>
      </c>
      <c r="T39" s="134">
        <v>0</v>
      </c>
      <c r="U39" s="122">
        <f t="shared" si="11"/>
        <v>0</v>
      </c>
      <c r="V39" s="122">
        <f t="shared" si="12"/>
        <v>0</v>
      </c>
      <c r="W39" s="122">
        <f t="shared" si="13"/>
        <v>0</v>
      </c>
      <c r="X39" s="134">
        <v>0</v>
      </c>
    </row>
    <row r="40" spans="1:24" ht="17.100000000000001" customHeight="1" x14ac:dyDescent="0.3">
      <c r="A40" s="23" t="s">
        <v>79</v>
      </c>
      <c r="B40" s="23" t="s">
        <v>80</v>
      </c>
      <c r="C40" s="24">
        <v>0</v>
      </c>
      <c r="D40" s="24">
        <v>0</v>
      </c>
      <c r="E40" s="24">
        <v>0</v>
      </c>
      <c r="F40" s="24">
        <v>0</v>
      </c>
      <c r="G40" s="25">
        <v>0</v>
      </c>
      <c r="H40" s="25">
        <v>0</v>
      </c>
      <c r="I40" s="24">
        <v>0</v>
      </c>
      <c r="J40" s="24">
        <f t="shared" si="14"/>
        <v>0</v>
      </c>
      <c r="K40" s="25">
        <v>0</v>
      </c>
      <c r="L40" s="25">
        <v>0</v>
      </c>
      <c r="M40" s="24">
        <f t="shared" si="7"/>
        <v>0</v>
      </c>
      <c r="N40" s="24">
        <f t="shared" si="8"/>
        <v>0</v>
      </c>
      <c r="O40" s="24">
        <f t="shared" si="9"/>
        <v>0</v>
      </c>
      <c r="P40" s="25">
        <v>0</v>
      </c>
      <c r="Q40" s="24"/>
      <c r="R40" s="24"/>
      <c r="S40" s="25">
        <v>0</v>
      </c>
      <c r="T40" s="25">
        <v>0</v>
      </c>
      <c r="U40" s="24">
        <f t="shared" si="11"/>
        <v>0</v>
      </c>
      <c r="V40" s="24">
        <f t="shared" si="12"/>
        <v>0</v>
      </c>
      <c r="W40" s="24">
        <f t="shared" si="13"/>
        <v>0</v>
      </c>
      <c r="X40" s="25">
        <v>0</v>
      </c>
    </row>
    <row r="41" spans="1:24" ht="17.100000000000001" customHeight="1" x14ac:dyDescent="0.3">
      <c r="A41" s="26" t="s">
        <v>81</v>
      </c>
      <c r="B41" s="26" t="s">
        <v>82</v>
      </c>
      <c r="C41" s="124">
        <f t="shared" ref="C41:K41" si="39">C42</f>
        <v>0</v>
      </c>
      <c r="D41" s="124">
        <f t="shared" si="39"/>
        <v>0</v>
      </c>
      <c r="E41" s="124">
        <f t="shared" si="39"/>
        <v>0</v>
      </c>
      <c r="F41" s="124">
        <f t="shared" si="39"/>
        <v>0</v>
      </c>
      <c r="G41" s="137">
        <f t="shared" si="39"/>
        <v>0</v>
      </c>
      <c r="H41" s="137">
        <v>0</v>
      </c>
      <c r="I41" s="124">
        <f t="shared" si="39"/>
        <v>0</v>
      </c>
      <c r="J41" s="124">
        <f t="shared" si="14"/>
        <v>0</v>
      </c>
      <c r="K41" s="137">
        <f t="shared" si="39"/>
        <v>0</v>
      </c>
      <c r="L41" s="137">
        <v>0</v>
      </c>
      <c r="M41" s="124">
        <f t="shared" si="7"/>
        <v>0</v>
      </c>
      <c r="N41" s="124">
        <f t="shared" si="8"/>
        <v>0</v>
      </c>
      <c r="O41" s="124">
        <f t="shared" si="9"/>
        <v>0</v>
      </c>
      <c r="P41" s="137">
        <v>0</v>
      </c>
      <c r="Q41" s="124">
        <f t="shared" ref="Q41:S41" si="40">Q42</f>
        <v>1023237</v>
      </c>
      <c r="R41" s="124">
        <f t="shared" si="40"/>
        <v>1023237</v>
      </c>
      <c r="S41" s="137">
        <f t="shared" si="40"/>
        <v>0</v>
      </c>
      <c r="T41" s="137">
        <v>0</v>
      </c>
      <c r="U41" s="124">
        <f t="shared" si="11"/>
        <v>1023237</v>
      </c>
      <c r="V41" s="124">
        <f t="shared" si="12"/>
        <v>1023237</v>
      </c>
      <c r="W41" s="124">
        <f t="shared" si="13"/>
        <v>0</v>
      </c>
      <c r="X41" s="137">
        <v>0</v>
      </c>
    </row>
    <row r="42" spans="1:24" ht="17.100000000000001" customHeight="1" x14ac:dyDescent="0.3">
      <c r="A42" s="23" t="s">
        <v>83</v>
      </c>
      <c r="B42" s="23" t="s">
        <v>84</v>
      </c>
      <c r="C42" s="123"/>
      <c r="D42" s="123"/>
      <c r="E42" s="123">
        <v>0</v>
      </c>
      <c r="F42" s="123">
        <v>0</v>
      </c>
      <c r="G42" s="135">
        <v>0</v>
      </c>
      <c r="H42" s="135">
        <v>0</v>
      </c>
      <c r="I42" s="123">
        <v>0</v>
      </c>
      <c r="J42" s="123">
        <f t="shared" si="14"/>
        <v>0</v>
      </c>
      <c r="K42" s="135">
        <v>0</v>
      </c>
      <c r="L42" s="135">
        <v>0</v>
      </c>
      <c r="M42" s="123">
        <f t="shared" si="7"/>
        <v>0</v>
      </c>
      <c r="N42" s="123">
        <f t="shared" si="8"/>
        <v>0</v>
      </c>
      <c r="O42" s="123">
        <f t="shared" si="9"/>
        <v>0</v>
      </c>
      <c r="P42" s="135">
        <v>0</v>
      </c>
      <c r="Q42" s="123">
        <f>1023237</f>
        <v>1023237</v>
      </c>
      <c r="R42" s="123">
        <f>1023237</f>
        <v>1023237</v>
      </c>
      <c r="S42" s="135">
        <v>0</v>
      </c>
      <c r="T42" s="135">
        <v>0</v>
      </c>
      <c r="U42" s="123">
        <f t="shared" si="11"/>
        <v>1023237</v>
      </c>
      <c r="V42" s="123">
        <f t="shared" si="12"/>
        <v>1023237</v>
      </c>
      <c r="W42" s="123">
        <f t="shared" si="13"/>
        <v>0</v>
      </c>
      <c r="X42" s="135">
        <v>0</v>
      </c>
    </row>
    <row r="43" spans="1:24" ht="17.100000000000001" customHeight="1" x14ac:dyDescent="0.3">
      <c r="A43" s="26" t="s">
        <v>85</v>
      </c>
      <c r="B43" s="26" t="s">
        <v>86</v>
      </c>
      <c r="C43" s="122">
        <f t="shared" ref="C43:H43" si="41">C8+C16+C19+C26+C36+C39+C41</f>
        <v>859234528</v>
      </c>
      <c r="D43" s="122">
        <f t="shared" si="41"/>
        <v>838344015</v>
      </c>
      <c r="E43" s="122">
        <f t="shared" si="41"/>
        <v>710756011</v>
      </c>
      <c r="F43" s="122">
        <f t="shared" si="41"/>
        <v>551937261</v>
      </c>
      <c r="G43" s="134">
        <f t="shared" si="41"/>
        <v>158818750</v>
      </c>
      <c r="H43" s="134">
        <f t="shared" si="41"/>
        <v>0</v>
      </c>
      <c r="I43" s="122">
        <f t="shared" ref="I43:L43" si="42">I8+I16+I19+I26+I36+I39+I41</f>
        <v>55281784</v>
      </c>
      <c r="J43" s="134">
        <f t="shared" si="42"/>
        <v>55281784</v>
      </c>
      <c r="K43" s="134">
        <f t="shared" si="42"/>
        <v>1000000</v>
      </c>
      <c r="L43" s="134">
        <f t="shared" si="42"/>
        <v>0</v>
      </c>
      <c r="M43" s="122">
        <f t="shared" si="7"/>
        <v>766037795</v>
      </c>
      <c r="N43" s="122">
        <f t="shared" si="8"/>
        <v>607219045</v>
      </c>
      <c r="O43" s="122">
        <f t="shared" si="9"/>
        <v>159818750</v>
      </c>
      <c r="P43" s="134">
        <f t="shared" ref="P43:T43" si="43">P8+P16+P19+P26+P36+P39+P41</f>
        <v>0</v>
      </c>
      <c r="Q43" s="122">
        <f t="shared" si="43"/>
        <v>100995820</v>
      </c>
      <c r="R43" s="122">
        <f t="shared" ref="R43" si="44">R8+R16+R19+R26+R36+R39+R41</f>
        <v>75589320</v>
      </c>
      <c r="S43" s="134">
        <f t="shared" si="43"/>
        <v>25406500</v>
      </c>
      <c r="T43" s="134">
        <f t="shared" si="43"/>
        <v>0</v>
      </c>
      <c r="U43" s="122">
        <f t="shared" si="11"/>
        <v>867033615</v>
      </c>
      <c r="V43" s="122">
        <f t="shared" si="12"/>
        <v>682808365</v>
      </c>
      <c r="W43" s="122">
        <f t="shared" si="13"/>
        <v>185225250</v>
      </c>
      <c r="X43" s="134">
        <f t="shared" ref="X43" si="45">X8+X16+X19+X26+X36+X39+X41</f>
        <v>0</v>
      </c>
    </row>
    <row r="44" spans="1:24" ht="17.100000000000001" customHeight="1" x14ac:dyDescent="0.3">
      <c r="A44" s="26" t="s">
        <v>87</v>
      </c>
      <c r="B44" s="26" t="s">
        <v>88</v>
      </c>
      <c r="C44" s="122">
        <f t="shared" ref="C44:H44" si="46">SUM(C45:C48)</f>
        <v>638394422</v>
      </c>
      <c r="D44" s="122">
        <f t="shared" si="46"/>
        <v>647330407</v>
      </c>
      <c r="E44" s="122">
        <f t="shared" si="46"/>
        <v>560000000</v>
      </c>
      <c r="F44" s="122">
        <f t="shared" ref="F44" si="47">SUM(F45:F48)</f>
        <v>560000000</v>
      </c>
      <c r="G44" s="134">
        <f t="shared" si="46"/>
        <v>0</v>
      </c>
      <c r="H44" s="134">
        <f t="shared" si="46"/>
        <v>0</v>
      </c>
      <c r="I44" s="122">
        <f t="shared" ref="I44" si="48">SUM(I45:I48)</f>
        <v>181396</v>
      </c>
      <c r="J44" s="122">
        <f t="shared" si="14"/>
        <v>181396</v>
      </c>
      <c r="K44" s="134">
        <f t="shared" ref="K44:L44" si="49">SUM(K45:K48)</f>
        <v>0</v>
      </c>
      <c r="L44" s="134">
        <f t="shared" si="49"/>
        <v>0</v>
      </c>
      <c r="M44" s="122">
        <f t="shared" si="7"/>
        <v>560181396</v>
      </c>
      <c r="N44" s="122">
        <f t="shared" si="8"/>
        <v>560181396</v>
      </c>
      <c r="O44" s="122">
        <f t="shared" si="9"/>
        <v>0</v>
      </c>
      <c r="P44" s="134">
        <f t="shared" ref="P44:Q44" si="50">SUM(P45:P48)</f>
        <v>0</v>
      </c>
      <c r="Q44" s="122">
        <f t="shared" si="50"/>
        <v>0</v>
      </c>
      <c r="R44" s="122">
        <f t="shared" ref="R44" si="51">SUM(R45:R48)</f>
        <v>0</v>
      </c>
      <c r="S44" s="134">
        <f t="shared" ref="S44:T44" si="52">SUM(S45:S48)</f>
        <v>0</v>
      </c>
      <c r="T44" s="134">
        <f t="shared" si="52"/>
        <v>0</v>
      </c>
      <c r="U44" s="122">
        <f t="shared" si="11"/>
        <v>560181396</v>
      </c>
      <c r="V44" s="122">
        <f t="shared" si="12"/>
        <v>560181396</v>
      </c>
      <c r="W44" s="122">
        <f t="shared" si="13"/>
        <v>0</v>
      </c>
      <c r="X44" s="134">
        <f t="shared" ref="X44" si="53">SUM(X45:X48)</f>
        <v>0</v>
      </c>
    </row>
    <row r="45" spans="1:24" ht="17.100000000000001" customHeight="1" x14ac:dyDescent="0.3">
      <c r="A45" s="23" t="s">
        <v>89</v>
      </c>
      <c r="B45" s="138" t="s">
        <v>90</v>
      </c>
      <c r="C45" s="24"/>
      <c r="D45" s="24"/>
      <c r="E45" s="24"/>
      <c r="F45" s="24"/>
      <c r="G45" s="25">
        <v>0</v>
      </c>
      <c r="H45" s="25">
        <v>0</v>
      </c>
      <c r="I45" s="24"/>
      <c r="J45" s="24">
        <f t="shared" si="14"/>
        <v>0</v>
      </c>
      <c r="K45" s="25">
        <v>0</v>
      </c>
      <c r="L45" s="25">
        <v>0</v>
      </c>
      <c r="M45" s="24">
        <f t="shared" si="7"/>
        <v>0</v>
      </c>
      <c r="N45" s="24">
        <f t="shared" si="8"/>
        <v>0</v>
      </c>
      <c r="O45" s="24">
        <f t="shared" si="9"/>
        <v>0</v>
      </c>
      <c r="P45" s="25">
        <v>0</v>
      </c>
      <c r="Q45" s="24"/>
      <c r="R45" s="24"/>
      <c r="S45" s="25">
        <v>0</v>
      </c>
      <c r="T45" s="25">
        <v>0</v>
      </c>
      <c r="U45" s="24">
        <f t="shared" si="11"/>
        <v>0</v>
      </c>
      <c r="V45" s="24">
        <f t="shared" si="12"/>
        <v>0</v>
      </c>
      <c r="W45" s="24">
        <f t="shared" si="13"/>
        <v>0</v>
      </c>
      <c r="X45" s="25">
        <v>0</v>
      </c>
    </row>
    <row r="46" spans="1:24" ht="17.100000000000001" customHeight="1" x14ac:dyDescent="0.3">
      <c r="A46" s="23" t="s">
        <v>91</v>
      </c>
      <c r="B46" s="23" t="s">
        <v>92</v>
      </c>
      <c r="C46" s="24"/>
      <c r="D46" s="24"/>
      <c r="E46" s="24"/>
      <c r="F46" s="24"/>
      <c r="G46" s="25">
        <v>0</v>
      </c>
      <c r="H46" s="25">
        <v>0</v>
      </c>
      <c r="I46" s="24"/>
      <c r="J46" s="24">
        <f t="shared" si="14"/>
        <v>0</v>
      </c>
      <c r="K46" s="25">
        <v>0</v>
      </c>
      <c r="L46" s="25">
        <v>0</v>
      </c>
      <c r="M46" s="24">
        <f t="shared" si="7"/>
        <v>0</v>
      </c>
      <c r="N46" s="24">
        <f t="shared" si="8"/>
        <v>0</v>
      </c>
      <c r="O46" s="24">
        <f t="shared" si="9"/>
        <v>0</v>
      </c>
      <c r="P46" s="25">
        <v>0</v>
      </c>
      <c r="Q46" s="24"/>
      <c r="R46" s="24"/>
      <c r="S46" s="25">
        <v>0</v>
      </c>
      <c r="T46" s="25">
        <v>0</v>
      </c>
      <c r="U46" s="24">
        <f t="shared" si="11"/>
        <v>0</v>
      </c>
      <c r="V46" s="24">
        <f t="shared" si="12"/>
        <v>0</v>
      </c>
      <c r="W46" s="24">
        <f t="shared" si="13"/>
        <v>0</v>
      </c>
      <c r="X46" s="25">
        <v>0</v>
      </c>
    </row>
    <row r="47" spans="1:24" ht="17.100000000000001" customHeight="1" x14ac:dyDescent="0.3">
      <c r="A47" s="23" t="s">
        <v>93</v>
      </c>
      <c r="B47" s="23" t="s">
        <v>94</v>
      </c>
      <c r="C47" s="24">
        <v>637935000</v>
      </c>
      <c r="D47" s="24">
        <v>637934547</v>
      </c>
      <c r="E47" s="24">
        <v>560000000</v>
      </c>
      <c r="F47" s="24">
        <v>560000000</v>
      </c>
      <c r="G47" s="25">
        <v>0</v>
      </c>
      <c r="H47" s="25">
        <v>0</v>
      </c>
      <c r="I47" s="24">
        <v>2560</v>
      </c>
      <c r="J47" s="24">
        <f t="shared" si="14"/>
        <v>2560</v>
      </c>
      <c r="K47" s="25">
        <v>0</v>
      </c>
      <c r="L47" s="25">
        <v>0</v>
      </c>
      <c r="M47" s="24">
        <f t="shared" si="7"/>
        <v>560002560</v>
      </c>
      <c r="N47" s="24">
        <f t="shared" si="8"/>
        <v>560002560</v>
      </c>
      <c r="O47" s="24">
        <f t="shared" si="9"/>
        <v>0</v>
      </c>
      <c r="P47" s="25">
        <v>0</v>
      </c>
      <c r="Q47" s="24"/>
      <c r="R47" s="24"/>
      <c r="S47" s="25">
        <v>0</v>
      </c>
      <c r="T47" s="25">
        <v>0</v>
      </c>
      <c r="U47" s="24">
        <f t="shared" si="11"/>
        <v>560002560</v>
      </c>
      <c r="V47" s="24">
        <f t="shared" si="12"/>
        <v>560002560</v>
      </c>
      <c r="W47" s="24">
        <f t="shared" si="13"/>
        <v>0</v>
      </c>
      <c r="X47" s="25">
        <v>0</v>
      </c>
    </row>
    <row r="48" spans="1:24" ht="17.100000000000001" customHeight="1" x14ac:dyDescent="0.3">
      <c r="A48" s="23" t="s">
        <v>95</v>
      </c>
      <c r="B48" s="23" t="s">
        <v>96</v>
      </c>
      <c r="C48" s="24">
        <v>459422</v>
      </c>
      <c r="D48" s="24">
        <v>9395860</v>
      </c>
      <c r="E48" s="24"/>
      <c r="F48" s="24"/>
      <c r="G48" s="25">
        <v>0</v>
      </c>
      <c r="H48" s="25">
        <v>0</v>
      </c>
      <c r="I48" s="24">
        <v>178836</v>
      </c>
      <c r="J48" s="24">
        <f t="shared" si="14"/>
        <v>178836</v>
      </c>
      <c r="K48" s="25">
        <v>0</v>
      </c>
      <c r="L48" s="25">
        <v>0</v>
      </c>
      <c r="M48" s="24">
        <f t="shared" si="7"/>
        <v>178836</v>
      </c>
      <c r="N48" s="24">
        <f t="shared" si="8"/>
        <v>178836</v>
      </c>
      <c r="O48" s="24">
        <f t="shared" si="9"/>
        <v>0</v>
      </c>
      <c r="P48" s="25">
        <v>0</v>
      </c>
      <c r="Q48" s="24"/>
      <c r="R48" s="24"/>
      <c r="S48" s="25">
        <v>0</v>
      </c>
      <c r="T48" s="25">
        <v>0</v>
      </c>
      <c r="U48" s="24">
        <f t="shared" si="11"/>
        <v>178836</v>
      </c>
      <c r="V48" s="24">
        <f t="shared" si="12"/>
        <v>178836</v>
      </c>
      <c r="W48" s="24">
        <f t="shared" si="13"/>
        <v>0</v>
      </c>
      <c r="X48" s="25">
        <v>0</v>
      </c>
    </row>
    <row r="49" spans="1:24" s="2" customFormat="1" ht="33" customHeight="1" x14ac:dyDescent="0.25">
      <c r="A49" s="306" t="s">
        <v>396</v>
      </c>
      <c r="B49" s="310"/>
      <c r="C49" s="125">
        <f t="shared" ref="C49:H49" si="54">C43+C44</f>
        <v>1497628950</v>
      </c>
      <c r="D49" s="125">
        <f t="shared" si="54"/>
        <v>1485674422</v>
      </c>
      <c r="E49" s="125">
        <f t="shared" si="54"/>
        <v>1270756011</v>
      </c>
      <c r="F49" s="125">
        <f t="shared" si="54"/>
        <v>1111937261</v>
      </c>
      <c r="G49" s="139">
        <f t="shared" si="54"/>
        <v>158818750</v>
      </c>
      <c r="H49" s="139">
        <f t="shared" si="54"/>
        <v>0</v>
      </c>
      <c r="I49" s="125">
        <f t="shared" ref="I49:L49" si="55">I43+I44</f>
        <v>55463180</v>
      </c>
      <c r="J49" s="139">
        <f t="shared" si="55"/>
        <v>55463180</v>
      </c>
      <c r="K49" s="139">
        <f t="shared" si="55"/>
        <v>1000000</v>
      </c>
      <c r="L49" s="139">
        <f t="shared" si="55"/>
        <v>0</v>
      </c>
      <c r="M49" s="125">
        <f t="shared" si="7"/>
        <v>1326219191</v>
      </c>
      <c r="N49" s="125">
        <f t="shared" si="8"/>
        <v>1167400441</v>
      </c>
      <c r="O49" s="125">
        <f t="shared" si="9"/>
        <v>159818750</v>
      </c>
      <c r="P49" s="139">
        <f t="shared" ref="P49:T49" si="56">P43+P44</f>
        <v>0</v>
      </c>
      <c r="Q49" s="125">
        <f t="shared" si="56"/>
        <v>100995820</v>
      </c>
      <c r="R49" s="125">
        <f t="shared" ref="R49" si="57">R43+R44</f>
        <v>75589320</v>
      </c>
      <c r="S49" s="139">
        <f t="shared" si="56"/>
        <v>25406500</v>
      </c>
      <c r="T49" s="139">
        <f t="shared" si="56"/>
        <v>0</v>
      </c>
      <c r="U49" s="125">
        <f t="shared" si="11"/>
        <v>1427215011</v>
      </c>
      <c r="V49" s="125">
        <f t="shared" si="12"/>
        <v>1242989761</v>
      </c>
      <c r="W49" s="125">
        <f t="shared" si="13"/>
        <v>185225250</v>
      </c>
      <c r="X49" s="139">
        <f t="shared" ref="X49" si="58">X43+X44</f>
        <v>0</v>
      </c>
    </row>
    <row r="50" spans="1:24" ht="14.4" x14ac:dyDescent="0.3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</row>
  </sheetData>
  <mergeCells count="26">
    <mergeCell ref="S5:T5"/>
    <mergeCell ref="W5:X5"/>
    <mergeCell ref="Q6:Q7"/>
    <mergeCell ref="R6:T6"/>
    <mergeCell ref="U6:U7"/>
    <mergeCell ref="V6:X6"/>
    <mergeCell ref="K5:L5"/>
    <mergeCell ref="I6:I7"/>
    <mergeCell ref="J6:L6"/>
    <mergeCell ref="O5:P5"/>
    <mergeCell ref="M6:M7"/>
    <mergeCell ref="N6:P6"/>
    <mergeCell ref="G5:H5"/>
    <mergeCell ref="A49:B49"/>
    <mergeCell ref="F6:H6"/>
    <mergeCell ref="A2:H2"/>
    <mergeCell ref="A3:H3"/>
    <mergeCell ref="D4:E4"/>
    <mergeCell ref="A5:B5"/>
    <mergeCell ref="C6:C7"/>
    <mergeCell ref="D6:D7"/>
    <mergeCell ref="E6:E7"/>
    <mergeCell ref="B6:B7"/>
    <mergeCell ref="A6:A7"/>
    <mergeCell ref="D5:E5"/>
    <mergeCell ref="A4:B4"/>
  </mergeCells>
  <phoneticPr fontId="49" type="noConversion"/>
  <pageMargins left="0.78740157480314965" right="0.78740157480314965" top="0.78740157480314965" bottom="0.78740157480314965" header="0.51181102362204722" footer="0.51181102362204722"/>
  <pageSetup paperSize="9" scale="38" orientation="landscape" r:id="rId1"/>
  <headerFooter alignWithMargins="0"/>
  <rowBreaks count="1" manualBreakCount="1">
    <brk id="4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X67"/>
  <sheetViews>
    <sheetView zoomScaleNormal="100" workbookViewId="0">
      <selection activeCell="A6" sqref="A6:A7"/>
    </sheetView>
  </sheetViews>
  <sheetFormatPr defaultColWidth="8.5546875" defaultRowHeight="13.8" x14ac:dyDescent="0.25"/>
  <cols>
    <col min="1" max="1" width="11.44140625" style="127" customWidth="1"/>
    <col min="2" max="2" width="67.21875" style="127" customWidth="1"/>
    <col min="3" max="4" width="13.77734375" style="127" customWidth="1"/>
    <col min="5" max="5" width="24.44140625" style="127" customWidth="1"/>
    <col min="6" max="6" width="18.77734375" style="6" customWidth="1"/>
    <col min="7" max="8" width="13.77734375" style="6" customWidth="1"/>
    <col min="9" max="9" width="13.77734375" style="127" customWidth="1"/>
    <col min="10" max="12" width="13.77734375" style="6" customWidth="1"/>
    <col min="13" max="13" width="29.77734375" style="127" customWidth="1"/>
    <col min="14" max="14" width="18.77734375" style="6" customWidth="1"/>
    <col min="15" max="16" width="13.77734375" style="6" customWidth="1"/>
    <col min="17" max="17" width="13.77734375" style="127" customWidth="1"/>
    <col min="18" max="20" width="13.77734375" style="6" customWidth="1"/>
    <col min="21" max="21" width="29.77734375" style="127" bestFit="1" customWidth="1"/>
    <col min="22" max="22" width="18.77734375" style="6" bestFit="1" customWidth="1"/>
    <col min="23" max="24" width="13.77734375" style="6" customWidth="1"/>
    <col min="25" max="16384" width="8.5546875" style="127"/>
  </cols>
  <sheetData>
    <row r="2" spans="1:24" ht="17.100000000000001" customHeight="1" x14ac:dyDescent="0.35">
      <c r="A2" s="301" t="s">
        <v>352</v>
      </c>
      <c r="B2" s="301"/>
      <c r="C2" s="301"/>
      <c r="D2" s="301"/>
      <c r="E2" s="301"/>
      <c r="F2" s="301"/>
      <c r="G2" s="301"/>
      <c r="H2" s="301"/>
      <c r="J2" s="127"/>
      <c r="K2" s="127"/>
      <c r="L2" s="127"/>
      <c r="N2" s="127"/>
      <c r="O2" s="127"/>
      <c r="P2" s="127"/>
      <c r="R2" s="127"/>
      <c r="S2" s="127"/>
      <c r="T2" s="127"/>
      <c r="V2" s="127"/>
      <c r="W2" s="127"/>
      <c r="X2" s="127"/>
    </row>
    <row r="3" spans="1:24" ht="17.100000000000001" customHeight="1" x14ac:dyDescent="0.35">
      <c r="A3" s="301">
        <v>2022</v>
      </c>
      <c r="B3" s="301"/>
      <c r="C3" s="301"/>
      <c r="D3" s="301"/>
      <c r="E3" s="301"/>
      <c r="F3" s="301"/>
      <c r="G3" s="301"/>
      <c r="H3" s="301"/>
      <c r="J3" s="127"/>
      <c r="K3" s="127"/>
      <c r="L3" s="127"/>
      <c r="N3" s="127"/>
      <c r="O3" s="127"/>
      <c r="P3" s="127"/>
      <c r="R3" s="127"/>
      <c r="S3" s="127"/>
      <c r="T3" s="127"/>
      <c r="V3" s="127"/>
      <c r="W3" s="127"/>
      <c r="X3" s="127"/>
    </row>
    <row r="4" spans="1:24" ht="17.100000000000001" customHeight="1" x14ac:dyDescent="0.3">
      <c r="A4" s="303" t="s">
        <v>553</v>
      </c>
      <c r="B4" s="303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</row>
    <row r="5" spans="1:24" ht="17.100000000000001" customHeight="1" x14ac:dyDescent="0.3">
      <c r="A5" s="303" t="s">
        <v>555</v>
      </c>
      <c r="B5" s="303"/>
      <c r="C5" s="129"/>
      <c r="D5" s="305"/>
      <c r="E5" s="305"/>
      <c r="F5" s="247"/>
      <c r="G5" s="305" t="s">
        <v>15</v>
      </c>
      <c r="H5" s="305"/>
      <c r="J5" s="247"/>
      <c r="K5" s="305" t="s">
        <v>15</v>
      </c>
      <c r="L5" s="305"/>
      <c r="N5" s="247"/>
      <c r="O5" s="305" t="s">
        <v>15</v>
      </c>
      <c r="P5" s="305"/>
      <c r="R5" s="247"/>
      <c r="S5" s="305" t="s">
        <v>15</v>
      </c>
      <c r="T5" s="305"/>
      <c r="V5" s="247"/>
      <c r="W5" s="305" t="s">
        <v>15</v>
      </c>
      <c r="X5" s="305"/>
    </row>
    <row r="6" spans="1:24" ht="17.100000000000001" customHeight="1" x14ac:dyDescent="0.25">
      <c r="A6" s="300" t="s">
        <v>19</v>
      </c>
      <c r="B6" s="300" t="s">
        <v>358</v>
      </c>
      <c r="C6" s="308" t="s">
        <v>484</v>
      </c>
      <c r="D6" s="300" t="s">
        <v>483</v>
      </c>
      <c r="E6" s="300" t="s">
        <v>480</v>
      </c>
      <c r="F6" s="300" t="s">
        <v>480</v>
      </c>
      <c r="G6" s="300"/>
      <c r="H6" s="300"/>
      <c r="I6" s="300" t="s">
        <v>511</v>
      </c>
      <c r="J6" s="300" t="s">
        <v>511</v>
      </c>
      <c r="K6" s="300"/>
      <c r="L6" s="300"/>
      <c r="M6" s="300" t="s">
        <v>512</v>
      </c>
      <c r="N6" s="300" t="s">
        <v>512</v>
      </c>
      <c r="O6" s="300"/>
      <c r="P6" s="300"/>
      <c r="Q6" s="300" t="s">
        <v>531</v>
      </c>
      <c r="R6" s="300" t="s">
        <v>531</v>
      </c>
      <c r="S6" s="300"/>
      <c r="T6" s="300"/>
      <c r="U6" s="300" t="s">
        <v>532</v>
      </c>
      <c r="V6" s="300" t="s">
        <v>532</v>
      </c>
      <c r="W6" s="300"/>
      <c r="X6" s="300"/>
    </row>
    <row r="7" spans="1:24" ht="46.35" customHeight="1" x14ac:dyDescent="0.25">
      <c r="A7" s="300"/>
      <c r="B7" s="300"/>
      <c r="C7" s="309"/>
      <c r="D7" s="300"/>
      <c r="E7" s="300"/>
      <c r="F7" s="248" t="s">
        <v>204</v>
      </c>
      <c r="G7" s="248" t="s">
        <v>205</v>
      </c>
      <c r="H7" s="248" t="s">
        <v>359</v>
      </c>
      <c r="I7" s="300"/>
      <c r="J7" s="248" t="s">
        <v>204</v>
      </c>
      <c r="K7" s="248" t="s">
        <v>205</v>
      </c>
      <c r="L7" s="248" t="s">
        <v>359</v>
      </c>
      <c r="M7" s="300"/>
      <c r="N7" s="248" t="s">
        <v>204</v>
      </c>
      <c r="O7" s="248" t="s">
        <v>205</v>
      </c>
      <c r="P7" s="248" t="s">
        <v>359</v>
      </c>
      <c r="Q7" s="300"/>
      <c r="R7" s="248" t="s">
        <v>204</v>
      </c>
      <c r="S7" s="248" t="s">
        <v>205</v>
      </c>
      <c r="T7" s="248" t="s">
        <v>359</v>
      </c>
      <c r="U7" s="300"/>
      <c r="V7" s="248" t="s">
        <v>204</v>
      </c>
      <c r="W7" s="248" t="s">
        <v>205</v>
      </c>
      <c r="X7" s="248" t="s">
        <v>359</v>
      </c>
    </row>
    <row r="8" spans="1:24" s="3" customFormat="1" ht="17.100000000000001" customHeight="1" x14ac:dyDescent="0.3">
      <c r="A8" s="26" t="s">
        <v>97</v>
      </c>
      <c r="B8" s="26" t="s">
        <v>98</v>
      </c>
      <c r="C8" s="122">
        <f t="shared" ref="C8:H8" si="0">C9+C16</f>
        <v>95028000</v>
      </c>
      <c r="D8" s="122">
        <f t="shared" si="0"/>
        <v>81801962</v>
      </c>
      <c r="E8" s="122">
        <f t="shared" si="0"/>
        <v>100090000</v>
      </c>
      <c r="F8" s="122">
        <f>+E8-G8</f>
        <v>71171250</v>
      </c>
      <c r="G8" s="122">
        <f t="shared" ref="G8" si="1">G9+G16</f>
        <v>28918750</v>
      </c>
      <c r="H8" s="134">
        <f t="shared" si="0"/>
        <v>0</v>
      </c>
      <c r="I8" s="122">
        <f>I9+I16</f>
        <v>4928000</v>
      </c>
      <c r="J8" s="122">
        <f>I8</f>
        <v>4928000</v>
      </c>
      <c r="K8" s="122">
        <f>K9+K16</f>
        <v>0</v>
      </c>
      <c r="L8" s="134">
        <f t="shared" ref="L8" si="2">L9+L16</f>
        <v>0</v>
      </c>
      <c r="M8" s="122">
        <f>E8+I8</f>
        <v>105018000</v>
      </c>
      <c r="N8" s="122">
        <f>F8+J8</f>
        <v>76099250</v>
      </c>
      <c r="O8" s="122">
        <f>G8+K8</f>
        <v>28918750</v>
      </c>
      <c r="P8" s="134">
        <f t="shared" ref="P8" si="3">P9+P16</f>
        <v>0</v>
      </c>
      <c r="Q8" s="122">
        <f>Q9+Q16</f>
        <v>7350000</v>
      </c>
      <c r="R8" s="122">
        <f>R9+R16</f>
        <v>6025000</v>
      </c>
      <c r="S8" s="122">
        <f>S9+S16</f>
        <v>1325000</v>
      </c>
      <c r="T8" s="134">
        <f t="shared" ref="T8" si="4">T9+T16</f>
        <v>0</v>
      </c>
      <c r="U8" s="122">
        <f>M8+Q8</f>
        <v>112368000</v>
      </c>
      <c r="V8" s="122">
        <f>N8+R8</f>
        <v>82124250</v>
      </c>
      <c r="W8" s="122">
        <f>O8+S8</f>
        <v>30243750</v>
      </c>
      <c r="X8" s="134">
        <f t="shared" ref="X8" si="5">X9+X16</f>
        <v>0</v>
      </c>
    </row>
    <row r="9" spans="1:24" s="128" customFormat="1" ht="17.100000000000001" customHeight="1" x14ac:dyDescent="0.3">
      <c r="A9" s="221" t="s">
        <v>99</v>
      </c>
      <c r="B9" s="221" t="s">
        <v>100</v>
      </c>
      <c r="C9" s="130">
        <f t="shared" ref="C9:I9" si="6">SUM(C10:C15)</f>
        <v>66884000</v>
      </c>
      <c r="D9" s="130">
        <f t="shared" si="6"/>
        <v>59062297</v>
      </c>
      <c r="E9" s="130">
        <f t="shared" ref="E9:G9" si="7">SUM(E10:E15)</f>
        <v>77324000</v>
      </c>
      <c r="F9" s="122">
        <f t="shared" ref="F9:F65" si="8">+E9-G9</f>
        <v>49755250</v>
      </c>
      <c r="G9" s="130">
        <f t="shared" si="7"/>
        <v>27568750</v>
      </c>
      <c r="H9" s="130">
        <f t="shared" si="6"/>
        <v>0</v>
      </c>
      <c r="I9" s="130">
        <f t="shared" si="6"/>
        <v>4900000</v>
      </c>
      <c r="J9" s="130">
        <f t="shared" ref="J9:J65" si="9">I9</f>
        <v>4900000</v>
      </c>
      <c r="K9" s="130">
        <f t="shared" ref="K9:L9" si="10">SUM(K10:K15)</f>
        <v>0</v>
      </c>
      <c r="L9" s="130">
        <f t="shared" si="10"/>
        <v>0</v>
      </c>
      <c r="M9" s="130">
        <f t="shared" ref="M9:M66" si="11">E9+I9</f>
        <v>82224000</v>
      </c>
      <c r="N9" s="130">
        <f t="shared" ref="N9:N66" si="12">F9+J9</f>
        <v>54655250</v>
      </c>
      <c r="O9" s="130">
        <f t="shared" ref="O9:O66" si="13">G9+K9</f>
        <v>27568750</v>
      </c>
      <c r="P9" s="130">
        <f t="shared" ref="P9" si="14">SUM(P10:P15)</f>
        <v>0</v>
      </c>
      <c r="Q9" s="130">
        <f>SUM(Q10:Q15)</f>
        <v>2350000</v>
      </c>
      <c r="R9" s="130">
        <f>SUM(R10:R15)</f>
        <v>2200000</v>
      </c>
      <c r="S9" s="130">
        <f t="shared" ref="S9:T9" si="15">SUM(S10:S15)</f>
        <v>150000</v>
      </c>
      <c r="T9" s="130">
        <f t="shared" si="15"/>
        <v>0</v>
      </c>
      <c r="U9" s="130">
        <f t="shared" ref="U9:U66" si="16">M9+Q9</f>
        <v>84574000</v>
      </c>
      <c r="V9" s="130">
        <f t="shared" ref="V9:V66" si="17">N9+R9</f>
        <v>56855250</v>
      </c>
      <c r="W9" s="130">
        <f t="shared" ref="W9:W66" si="18">O9+S9</f>
        <v>27718750</v>
      </c>
      <c r="X9" s="130">
        <f t="shared" ref="X9" si="19">SUM(X10:X15)</f>
        <v>0</v>
      </c>
    </row>
    <row r="10" spans="1:24" s="4" customFormat="1" ht="17.100000000000001" customHeight="1" x14ac:dyDescent="0.3">
      <c r="A10" s="23" t="s">
        <v>101</v>
      </c>
      <c r="B10" s="23" t="s">
        <v>102</v>
      </c>
      <c r="C10" s="24">
        <v>62306000</v>
      </c>
      <c r="D10" s="24">
        <v>56224577</v>
      </c>
      <c r="E10" s="24">
        <v>74510000</v>
      </c>
      <c r="F10" s="122">
        <f t="shared" si="8"/>
        <v>47510000</v>
      </c>
      <c r="G10" s="25">
        <v>27000000</v>
      </c>
      <c r="H10" s="25"/>
      <c r="I10" s="24">
        <f>-100000+1000000+3900000</f>
        <v>4800000</v>
      </c>
      <c r="J10" s="24">
        <f t="shared" si="9"/>
        <v>4800000</v>
      </c>
      <c r="K10" s="25"/>
      <c r="L10" s="25"/>
      <c r="M10" s="24">
        <f t="shared" si="11"/>
        <v>79310000</v>
      </c>
      <c r="N10" s="24">
        <f t="shared" si="12"/>
        <v>52310000</v>
      </c>
      <c r="O10" s="24">
        <f t="shared" si="13"/>
        <v>27000000</v>
      </c>
      <c r="P10" s="25"/>
      <c r="Q10" s="24">
        <f>-939338-63200-136700-28737-114948-4000000-280000-53000-129055-98445+150000+5400000+600000+200000-47826-252000</f>
        <v>206751</v>
      </c>
      <c r="R10" s="24">
        <f>-939338-136700-4000000-280000-53000-98445+5400000+600000+200000-252000</f>
        <v>440517</v>
      </c>
      <c r="S10" s="25">
        <f>-63200-28737-114948-129055+150000-47826</f>
        <v>-233766</v>
      </c>
      <c r="T10" s="25"/>
      <c r="U10" s="24">
        <f t="shared" si="16"/>
        <v>79516751</v>
      </c>
      <c r="V10" s="24">
        <f t="shared" si="17"/>
        <v>52750517</v>
      </c>
      <c r="W10" s="24">
        <f t="shared" si="18"/>
        <v>26766234</v>
      </c>
      <c r="X10" s="25"/>
    </row>
    <row r="11" spans="1:24" s="4" customFormat="1" ht="17.100000000000001" customHeight="1" x14ac:dyDescent="0.3">
      <c r="A11" s="23" t="s">
        <v>103</v>
      </c>
      <c r="B11" s="23" t="s">
        <v>104</v>
      </c>
      <c r="C11" s="24">
        <v>350000</v>
      </c>
      <c r="D11" s="24">
        <v>0</v>
      </c>
      <c r="E11" s="24">
        <v>0</v>
      </c>
      <c r="F11" s="122">
        <f t="shared" si="8"/>
        <v>0</v>
      </c>
      <c r="G11" s="25"/>
      <c r="H11" s="25"/>
      <c r="I11" s="24"/>
      <c r="J11" s="24">
        <f t="shared" si="9"/>
        <v>0</v>
      </c>
      <c r="K11" s="25"/>
      <c r="L11" s="25"/>
      <c r="M11" s="24">
        <f t="shared" si="11"/>
        <v>0</v>
      </c>
      <c r="N11" s="24">
        <f t="shared" si="12"/>
        <v>0</v>
      </c>
      <c r="O11" s="24">
        <f t="shared" si="13"/>
        <v>0</v>
      </c>
      <c r="P11" s="25"/>
      <c r="Q11" s="24">
        <f>855300+63200+136700+280000+53000</f>
        <v>1388200</v>
      </c>
      <c r="R11" s="24">
        <f>855300+136700+280000+53000</f>
        <v>1325000</v>
      </c>
      <c r="S11" s="25">
        <f>63200</f>
        <v>63200</v>
      </c>
      <c r="T11" s="25"/>
      <c r="U11" s="24">
        <f t="shared" si="16"/>
        <v>1388200</v>
      </c>
      <c r="V11" s="24">
        <f t="shared" si="17"/>
        <v>1325000</v>
      </c>
      <c r="W11" s="24">
        <f t="shared" si="18"/>
        <v>63200</v>
      </c>
      <c r="X11" s="25"/>
    </row>
    <row r="12" spans="1:24" s="4" customFormat="1" ht="17.100000000000001" customHeight="1" x14ac:dyDescent="0.3">
      <c r="A12" s="23" t="s">
        <v>105</v>
      </c>
      <c r="B12" s="23" t="s">
        <v>106</v>
      </c>
      <c r="C12" s="24">
        <v>2958000</v>
      </c>
      <c r="D12" s="24">
        <v>2837720</v>
      </c>
      <c r="E12" s="24">
        <v>2344000</v>
      </c>
      <c r="F12" s="122">
        <f t="shared" si="8"/>
        <v>1875250</v>
      </c>
      <c r="G12" s="25">
        <v>468750</v>
      </c>
      <c r="H12" s="25"/>
      <c r="I12" s="24"/>
      <c r="J12" s="24">
        <f t="shared" si="9"/>
        <v>0</v>
      </c>
      <c r="K12" s="25"/>
      <c r="L12" s="25"/>
      <c r="M12" s="24">
        <f t="shared" si="11"/>
        <v>2344000</v>
      </c>
      <c r="N12" s="24">
        <f t="shared" si="12"/>
        <v>1875250</v>
      </c>
      <c r="O12" s="24">
        <f t="shared" si="13"/>
        <v>468750</v>
      </c>
      <c r="P12" s="25"/>
      <c r="Q12" s="24"/>
      <c r="R12" s="24"/>
      <c r="S12" s="25"/>
      <c r="T12" s="25"/>
      <c r="U12" s="24">
        <f t="shared" si="16"/>
        <v>2344000</v>
      </c>
      <c r="V12" s="24">
        <f t="shared" si="17"/>
        <v>1875250</v>
      </c>
      <c r="W12" s="24">
        <f t="shared" si="18"/>
        <v>468750</v>
      </c>
      <c r="X12" s="25"/>
    </row>
    <row r="13" spans="1:24" s="4" customFormat="1" ht="17.100000000000001" customHeight="1" x14ac:dyDescent="0.3">
      <c r="A13" s="23" t="s">
        <v>107</v>
      </c>
      <c r="B13" s="23" t="s">
        <v>108</v>
      </c>
      <c r="C13" s="24">
        <v>470000</v>
      </c>
      <c r="D13" s="24">
        <v>0</v>
      </c>
      <c r="E13" s="24">
        <v>470000</v>
      </c>
      <c r="F13" s="122">
        <f t="shared" si="8"/>
        <v>370000</v>
      </c>
      <c r="G13" s="25">
        <v>100000</v>
      </c>
      <c r="H13" s="25"/>
      <c r="I13" s="24"/>
      <c r="J13" s="24">
        <f t="shared" si="9"/>
        <v>0</v>
      </c>
      <c r="K13" s="25"/>
      <c r="L13" s="25"/>
      <c r="M13" s="24">
        <f t="shared" si="11"/>
        <v>470000</v>
      </c>
      <c r="N13" s="24">
        <f t="shared" si="12"/>
        <v>370000</v>
      </c>
      <c r="O13" s="24">
        <f t="shared" si="13"/>
        <v>100000</v>
      </c>
      <c r="P13" s="25"/>
      <c r="Q13" s="24"/>
      <c r="R13" s="24"/>
      <c r="S13" s="25"/>
      <c r="T13" s="25"/>
      <c r="U13" s="24">
        <f t="shared" si="16"/>
        <v>470000</v>
      </c>
      <c r="V13" s="24">
        <f t="shared" si="17"/>
        <v>370000</v>
      </c>
      <c r="W13" s="24">
        <f t="shared" si="18"/>
        <v>100000</v>
      </c>
      <c r="X13" s="25"/>
    </row>
    <row r="14" spans="1:24" s="4" customFormat="1" ht="17.100000000000001" customHeight="1" x14ac:dyDescent="0.3">
      <c r="A14" s="23" t="s">
        <v>109</v>
      </c>
      <c r="B14" s="23" t="s">
        <v>110</v>
      </c>
      <c r="C14" s="24">
        <v>0</v>
      </c>
      <c r="D14" s="24">
        <v>0</v>
      </c>
      <c r="E14" s="24">
        <v>0</v>
      </c>
      <c r="F14" s="122">
        <f t="shared" si="8"/>
        <v>0</v>
      </c>
      <c r="G14" s="25"/>
      <c r="H14" s="25"/>
      <c r="I14" s="24"/>
      <c r="J14" s="24">
        <f t="shared" si="9"/>
        <v>0</v>
      </c>
      <c r="K14" s="25"/>
      <c r="L14" s="25"/>
      <c r="M14" s="24">
        <f t="shared" si="11"/>
        <v>0</v>
      </c>
      <c r="N14" s="24">
        <f t="shared" si="12"/>
        <v>0</v>
      </c>
      <c r="O14" s="24">
        <f t="shared" si="13"/>
        <v>0</v>
      </c>
      <c r="P14" s="25"/>
      <c r="Q14" s="24"/>
      <c r="R14" s="24"/>
      <c r="S14" s="25"/>
      <c r="T14" s="25"/>
      <c r="U14" s="24">
        <f t="shared" si="16"/>
        <v>0</v>
      </c>
      <c r="V14" s="24">
        <f t="shared" si="17"/>
        <v>0</v>
      </c>
      <c r="W14" s="24">
        <f t="shared" si="18"/>
        <v>0</v>
      </c>
      <c r="X14" s="25"/>
    </row>
    <row r="15" spans="1:24" s="4" customFormat="1" ht="17.100000000000001" customHeight="1" x14ac:dyDescent="0.3">
      <c r="A15" s="23" t="s">
        <v>111</v>
      </c>
      <c r="B15" s="23" t="s">
        <v>112</v>
      </c>
      <c r="C15" s="24">
        <v>800000</v>
      </c>
      <c r="D15" s="24">
        <v>0</v>
      </c>
      <c r="E15" s="24">
        <v>0</v>
      </c>
      <c r="F15" s="122">
        <f t="shared" si="8"/>
        <v>0</v>
      </c>
      <c r="G15" s="25"/>
      <c r="H15" s="25"/>
      <c r="I15" s="24">
        <v>100000</v>
      </c>
      <c r="J15" s="24">
        <f t="shared" si="9"/>
        <v>100000</v>
      </c>
      <c r="K15" s="25"/>
      <c r="L15" s="25"/>
      <c r="M15" s="24">
        <f t="shared" si="11"/>
        <v>100000</v>
      </c>
      <c r="N15" s="24">
        <f t="shared" si="12"/>
        <v>100000</v>
      </c>
      <c r="O15" s="24">
        <f t="shared" si="13"/>
        <v>0</v>
      </c>
      <c r="P15" s="25"/>
      <c r="Q15" s="24">
        <f>84038+28737+114948+129055+98445+47826+252000</f>
        <v>755049</v>
      </c>
      <c r="R15" s="24">
        <f>84038+98445+252000</f>
        <v>434483</v>
      </c>
      <c r="S15" s="25">
        <f>28737+114948+129055+47826</f>
        <v>320566</v>
      </c>
      <c r="T15" s="25"/>
      <c r="U15" s="24">
        <f t="shared" si="16"/>
        <v>855049</v>
      </c>
      <c r="V15" s="24">
        <f t="shared" si="17"/>
        <v>534483</v>
      </c>
      <c r="W15" s="24">
        <f t="shared" si="18"/>
        <v>320566</v>
      </c>
      <c r="X15" s="25"/>
    </row>
    <row r="16" spans="1:24" s="128" customFormat="1" ht="17.100000000000001" customHeight="1" x14ac:dyDescent="0.3">
      <c r="A16" s="221" t="s">
        <v>113</v>
      </c>
      <c r="B16" s="221" t="s">
        <v>114</v>
      </c>
      <c r="C16" s="130">
        <f t="shared" ref="C16:H16" si="20">SUM(C17:C19)</f>
        <v>28144000</v>
      </c>
      <c r="D16" s="130">
        <f t="shared" si="20"/>
        <v>22739665</v>
      </c>
      <c r="E16" s="130">
        <f t="shared" si="20"/>
        <v>22766000</v>
      </c>
      <c r="F16" s="122">
        <f t="shared" si="8"/>
        <v>21416000</v>
      </c>
      <c r="G16" s="130">
        <f t="shared" ref="G16" si="21">SUM(G17:G19)</f>
        <v>1350000</v>
      </c>
      <c r="H16" s="130">
        <f t="shared" si="20"/>
        <v>0</v>
      </c>
      <c r="I16" s="130">
        <f t="shared" ref="I16" si="22">SUM(I17:I19)</f>
        <v>28000</v>
      </c>
      <c r="J16" s="130">
        <f t="shared" si="9"/>
        <v>28000</v>
      </c>
      <c r="K16" s="130">
        <f t="shared" ref="K16:L16" si="23">SUM(K17:K19)</f>
        <v>0</v>
      </c>
      <c r="L16" s="130">
        <f t="shared" si="23"/>
        <v>0</v>
      </c>
      <c r="M16" s="130">
        <f t="shared" si="11"/>
        <v>22794000</v>
      </c>
      <c r="N16" s="130">
        <f t="shared" si="12"/>
        <v>21444000</v>
      </c>
      <c r="O16" s="130">
        <f t="shared" si="13"/>
        <v>1350000</v>
      </c>
      <c r="P16" s="130">
        <f t="shared" ref="P16:Q16" si="24">SUM(P17:P19)</f>
        <v>0</v>
      </c>
      <c r="Q16" s="130">
        <f t="shared" si="24"/>
        <v>5000000</v>
      </c>
      <c r="R16" s="130">
        <f t="shared" ref="R16" si="25">SUM(R17:R19)</f>
        <v>3825000</v>
      </c>
      <c r="S16" s="130">
        <f t="shared" ref="S16:T16" si="26">SUM(S17:S19)</f>
        <v>1175000</v>
      </c>
      <c r="T16" s="130">
        <f t="shared" si="26"/>
        <v>0</v>
      </c>
      <c r="U16" s="130">
        <f t="shared" si="16"/>
        <v>27794000</v>
      </c>
      <c r="V16" s="130">
        <f t="shared" si="17"/>
        <v>25269000</v>
      </c>
      <c r="W16" s="130">
        <f t="shared" si="18"/>
        <v>2525000</v>
      </c>
      <c r="X16" s="130">
        <f t="shared" ref="X16" si="27">SUM(X17:X19)</f>
        <v>0</v>
      </c>
    </row>
    <row r="17" spans="1:24" s="4" customFormat="1" ht="17.100000000000001" customHeight="1" x14ac:dyDescent="0.3">
      <c r="A17" s="23" t="s">
        <v>115</v>
      </c>
      <c r="B17" s="23" t="s">
        <v>116</v>
      </c>
      <c r="C17" s="24">
        <v>14208000</v>
      </c>
      <c r="D17" s="24">
        <v>12754514</v>
      </c>
      <c r="E17" s="24">
        <v>15100000</v>
      </c>
      <c r="F17" s="122">
        <f t="shared" si="8"/>
        <v>15100000</v>
      </c>
      <c r="G17" s="25"/>
      <c r="H17" s="25"/>
      <c r="I17" s="24"/>
      <c r="J17" s="24">
        <f t="shared" si="9"/>
        <v>0</v>
      </c>
      <c r="K17" s="25"/>
      <c r="L17" s="25"/>
      <c r="M17" s="24">
        <f t="shared" si="11"/>
        <v>15100000</v>
      </c>
      <c r="N17" s="24">
        <f t="shared" si="12"/>
        <v>15100000</v>
      </c>
      <c r="O17" s="24">
        <f t="shared" si="13"/>
        <v>0</v>
      </c>
      <c r="P17" s="25"/>
      <c r="Q17" s="24"/>
      <c r="R17" s="24"/>
      <c r="S17" s="25"/>
      <c r="T17" s="25"/>
      <c r="U17" s="24">
        <f t="shared" si="16"/>
        <v>15100000</v>
      </c>
      <c r="V17" s="24">
        <f t="shared" si="17"/>
        <v>15100000</v>
      </c>
      <c r="W17" s="24">
        <f t="shared" si="18"/>
        <v>0</v>
      </c>
      <c r="X17" s="25"/>
    </row>
    <row r="18" spans="1:24" s="4" customFormat="1" ht="17.100000000000001" customHeight="1" x14ac:dyDescent="0.3">
      <c r="A18" s="23" t="s">
        <v>117</v>
      </c>
      <c r="B18" s="23" t="s">
        <v>0</v>
      </c>
      <c r="C18" s="24">
        <v>6500000</v>
      </c>
      <c r="D18" s="24">
        <v>5345927</v>
      </c>
      <c r="E18" s="24">
        <v>3316000</v>
      </c>
      <c r="F18" s="122">
        <f t="shared" si="8"/>
        <v>3316000</v>
      </c>
      <c r="G18" s="25"/>
      <c r="H18" s="25"/>
      <c r="I18" s="24">
        <v>28000</v>
      </c>
      <c r="J18" s="24">
        <f t="shared" si="9"/>
        <v>28000</v>
      </c>
      <c r="K18" s="25"/>
      <c r="L18" s="25"/>
      <c r="M18" s="24">
        <f t="shared" si="11"/>
        <v>3344000</v>
      </c>
      <c r="N18" s="24">
        <f t="shared" si="12"/>
        <v>3344000</v>
      </c>
      <c r="O18" s="24">
        <f t="shared" si="13"/>
        <v>0</v>
      </c>
      <c r="P18" s="25"/>
      <c r="Q18" s="24">
        <f>175000-175000</f>
        <v>0</v>
      </c>
      <c r="R18" s="24">
        <f>-175000</f>
        <v>-175000</v>
      </c>
      <c r="S18" s="25">
        <f>175000</f>
        <v>175000</v>
      </c>
      <c r="T18" s="25"/>
      <c r="U18" s="24">
        <f t="shared" si="16"/>
        <v>3344000</v>
      </c>
      <c r="V18" s="24">
        <f t="shared" si="17"/>
        <v>3169000</v>
      </c>
      <c r="W18" s="24">
        <f t="shared" si="18"/>
        <v>175000</v>
      </c>
      <c r="X18" s="25"/>
    </row>
    <row r="19" spans="1:24" s="4" customFormat="1" ht="17.100000000000001" customHeight="1" x14ac:dyDescent="0.3">
      <c r="A19" s="23" t="s">
        <v>118</v>
      </c>
      <c r="B19" s="23" t="s">
        <v>119</v>
      </c>
      <c r="C19" s="24">
        <v>7436000</v>
      </c>
      <c r="D19" s="24">
        <v>4639224</v>
      </c>
      <c r="E19" s="24">
        <v>4350000</v>
      </c>
      <c r="F19" s="122">
        <f t="shared" si="8"/>
        <v>3000000</v>
      </c>
      <c r="G19" s="25">
        <v>1350000</v>
      </c>
      <c r="H19" s="25"/>
      <c r="I19" s="24"/>
      <c r="J19" s="24">
        <f t="shared" si="9"/>
        <v>0</v>
      </c>
      <c r="K19" s="25"/>
      <c r="L19" s="25"/>
      <c r="M19" s="24">
        <f t="shared" si="11"/>
        <v>4350000</v>
      </c>
      <c r="N19" s="24">
        <f t="shared" si="12"/>
        <v>3000000</v>
      </c>
      <c r="O19" s="24">
        <f t="shared" si="13"/>
        <v>1350000</v>
      </c>
      <c r="P19" s="25"/>
      <c r="Q19" s="24">
        <f>4000000+1000000</f>
        <v>5000000</v>
      </c>
      <c r="R19" s="24">
        <v>4000000</v>
      </c>
      <c r="S19" s="25">
        <f>1000000</f>
        <v>1000000</v>
      </c>
      <c r="T19" s="25"/>
      <c r="U19" s="24">
        <f t="shared" si="16"/>
        <v>9350000</v>
      </c>
      <c r="V19" s="24">
        <f t="shared" si="17"/>
        <v>7000000</v>
      </c>
      <c r="W19" s="24">
        <f t="shared" si="18"/>
        <v>2350000</v>
      </c>
      <c r="X19" s="25"/>
    </row>
    <row r="20" spans="1:24" s="3" customFormat="1" ht="17.100000000000001" customHeight="1" x14ac:dyDescent="0.3">
      <c r="A20" s="26" t="s">
        <v>120</v>
      </c>
      <c r="B20" s="26" t="s">
        <v>121</v>
      </c>
      <c r="C20" s="131">
        <v>15138000</v>
      </c>
      <c r="D20" s="131">
        <v>13849616</v>
      </c>
      <c r="E20" s="131">
        <v>15674000</v>
      </c>
      <c r="F20" s="122">
        <f t="shared" si="8"/>
        <v>11174000</v>
      </c>
      <c r="G20" s="140">
        <v>4500000</v>
      </c>
      <c r="H20" s="140"/>
      <c r="I20" s="131">
        <v>576000</v>
      </c>
      <c r="J20" s="131">
        <f t="shared" si="9"/>
        <v>576000</v>
      </c>
      <c r="K20" s="140"/>
      <c r="L20" s="140"/>
      <c r="M20" s="131">
        <f t="shared" si="11"/>
        <v>16250000</v>
      </c>
      <c r="N20" s="131">
        <f t="shared" si="12"/>
        <v>11750000</v>
      </c>
      <c r="O20" s="131">
        <f t="shared" si="13"/>
        <v>4500000</v>
      </c>
      <c r="P20" s="140"/>
      <c r="Q20" s="131">
        <f>1666500+130000</f>
        <v>1796500</v>
      </c>
      <c r="R20" s="131">
        <f>1666500-19500</f>
        <v>1647000</v>
      </c>
      <c r="S20" s="140">
        <f>19500+130000</f>
        <v>149500</v>
      </c>
      <c r="T20" s="140"/>
      <c r="U20" s="131">
        <f t="shared" si="16"/>
        <v>18046500</v>
      </c>
      <c r="V20" s="131">
        <f t="shared" si="17"/>
        <v>13397000</v>
      </c>
      <c r="W20" s="131">
        <f t="shared" si="18"/>
        <v>4649500</v>
      </c>
      <c r="X20" s="140"/>
    </row>
    <row r="21" spans="1:24" s="3" customFormat="1" ht="17.100000000000001" customHeight="1" x14ac:dyDescent="0.3">
      <c r="A21" s="26" t="s">
        <v>122</v>
      </c>
      <c r="B21" s="26" t="s">
        <v>123</v>
      </c>
      <c r="C21" s="122">
        <f t="shared" ref="C21:H21" si="28">C22+C25+C28+C36+C37</f>
        <v>326405950</v>
      </c>
      <c r="D21" s="122">
        <f t="shared" si="28"/>
        <v>186882389</v>
      </c>
      <c r="E21" s="122">
        <f t="shared" si="28"/>
        <v>354792000</v>
      </c>
      <c r="F21" s="122">
        <f t="shared" si="8"/>
        <v>250601000</v>
      </c>
      <c r="G21" s="122">
        <f t="shared" ref="G21" si="29">G22+G25+G28+G36+G37</f>
        <v>104191000</v>
      </c>
      <c r="H21" s="122">
        <f t="shared" si="28"/>
        <v>0</v>
      </c>
      <c r="I21" s="122">
        <f t="shared" ref="I21" si="30">I22+I25+I28+I36+I37</f>
        <v>-23086000</v>
      </c>
      <c r="J21" s="122">
        <f t="shared" ref="J21:L21" si="31">J22+J25+J28+J36+J37</f>
        <v>-24086000</v>
      </c>
      <c r="K21" s="122">
        <f t="shared" si="31"/>
        <v>1000000</v>
      </c>
      <c r="L21" s="122">
        <f t="shared" si="31"/>
        <v>0</v>
      </c>
      <c r="M21" s="122">
        <f t="shared" si="11"/>
        <v>331706000</v>
      </c>
      <c r="N21" s="122">
        <f t="shared" si="12"/>
        <v>226515000</v>
      </c>
      <c r="O21" s="122">
        <f t="shared" si="13"/>
        <v>105191000</v>
      </c>
      <c r="P21" s="122">
        <f t="shared" ref="P21:T21" si="32">P22+P25+P28+P36+P37</f>
        <v>0</v>
      </c>
      <c r="Q21" s="122">
        <f t="shared" si="32"/>
        <v>53298680</v>
      </c>
      <c r="R21" s="122">
        <f t="shared" ref="R21" si="33">R22+R25+R28+R36+R37</f>
        <v>29366680</v>
      </c>
      <c r="S21" s="122">
        <f t="shared" si="32"/>
        <v>23932000</v>
      </c>
      <c r="T21" s="122">
        <f t="shared" si="32"/>
        <v>0</v>
      </c>
      <c r="U21" s="122">
        <f t="shared" si="16"/>
        <v>385004680</v>
      </c>
      <c r="V21" s="122">
        <f t="shared" si="17"/>
        <v>255881680</v>
      </c>
      <c r="W21" s="122">
        <f t="shared" si="18"/>
        <v>129123000</v>
      </c>
      <c r="X21" s="122">
        <f t="shared" ref="X21" si="34">X22+X25+X28+X36+X37</f>
        <v>0</v>
      </c>
    </row>
    <row r="22" spans="1:24" s="128" customFormat="1" ht="17.100000000000001" customHeight="1" x14ac:dyDescent="0.3">
      <c r="A22" s="221" t="s">
        <v>124</v>
      </c>
      <c r="B22" s="221" t="s">
        <v>125</v>
      </c>
      <c r="C22" s="132">
        <f>SUM(C23:C24)</f>
        <v>27885000</v>
      </c>
      <c r="D22" s="132">
        <f>SUM(D23:D24)</f>
        <v>17690838</v>
      </c>
      <c r="E22" s="132">
        <f>SUM(E23:E24)</f>
        <v>58538000</v>
      </c>
      <c r="F22" s="122">
        <f t="shared" si="8"/>
        <v>48738000</v>
      </c>
      <c r="G22" s="132">
        <f>SUM(G23:G24)</f>
        <v>9800000</v>
      </c>
      <c r="H22" s="141">
        <v>0</v>
      </c>
      <c r="I22" s="132">
        <f>SUM(I23:I24)</f>
        <v>-30698000</v>
      </c>
      <c r="J22" s="132">
        <f t="shared" si="9"/>
        <v>-30698000</v>
      </c>
      <c r="K22" s="132">
        <f>SUM(K23:K24)</f>
        <v>0</v>
      </c>
      <c r="L22" s="141">
        <v>0</v>
      </c>
      <c r="M22" s="132">
        <f t="shared" si="11"/>
        <v>27840000</v>
      </c>
      <c r="N22" s="132">
        <f t="shared" si="12"/>
        <v>18040000</v>
      </c>
      <c r="O22" s="132">
        <f t="shared" si="13"/>
        <v>9800000</v>
      </c>
      <c r="P22" s="141">
        <v>0</v>
      </c>
      <c r="Q22" s="132">
        <f>SUM(Q23:Q24)</f>
        <v>4384000</v>
      </c>
      <c r="R22" s="132">
        <f>SUM(R23:R24)</f>
        <v>4384000</v>
      </c>
      <c r="S22" s="132">
        <f>SUM(S23:S24)</f>
        <v>0</v>
      </c>
      <c r="T22" s="141">
        <v>0</v>
      </c>
      <c r="U22" s="132">
        <f t="shared" si="16"/>
        <v>32224000</v>
      </c>
      <c r="V22" s="132">
        <f t="shared" si="17"/>
        <v>22424000</v>
      </c>
      <c r="W22" s="132">
        <f t="shared" si="18"/>
        <v>9800000</v>
      </c>
      <c r="X22" s="141">
        <v>0</v>
      </c>
    </row>
    <row r="23" spans="1:24" s="4" customFormat="1" ht="17.100000000000001" customHeight="1" x14ac:dyDescent="0.3">
      <c r="A23" s="23" t="s">
        <v>126</v>
      </c>
      <c r="B23" s="23" t="s">
        <v>127</v>
      </c>
      <c r="C23" s="24">
        <v>4120000</v>
      </c>
      <c r="D23" s="24">
        <v>2617720</v>
      </c>
      <c r="E23" s="24">
        <v>36180000</v>
      </c>
      <c r="F23" s="122">
        <f t="shared" si="8"/>
        <v>34580000</v>
      </c>
      <c r="G23" s="25">
        <v>1600000</v>
      </c>
      <c r="H23" s="25"/>
      <c r="I23" s="24">
        <f>802000-31500000</f>
        <v>-30698000</v>
      </c>
      <c r="J23" s="24">
        <f t="shared" si="9"/>
        <v>-30698000</v>
      </c>
      <c r="K23" s="25"/>
      <c r="L23" s="25"/>
      <c r="M23" s="24">
        <f t="shared" si="11"/>
        <v>5482000</v>
      </c>
      <c r="N23" s="24">
        <f t="shared" si="12"/>
        <v>3882000</v>
      </c>
      <c r="O23" s="24">
        <f t="shared" si="13"/>
        <v>1600000</v>
      </c>
      <c r="P23" s="25"/>
      <c r="Q23" s="24">
        <f>1000000</f>
        <v>1000000</v>
      </c>
      <c r="R23" s="24">
        <f>1000000</f>
        <v>1000000</v>
      </c>
      <c r="S23" s="25"/>
      <c r="T23" s="25"/>
      <c r="U23" s="24">
        <f t="shared" si="16"/>
        <v>6482000</v>
      </c>
      <c r="V23" s="24">
        <f t="shared" si="17"/>
        <v>4882000</v>
      </c>
      <c r="W23" s="24">
        <f t="shared" si="18"/>
        <v>1600000</v>
      </c>
      <c r="X23" s="25"/>
    </row>
    <row r="24" spans="1:24" s="4" customFormat="1" ht="17.100000000000001" customHeight="1" x14ac:dyDescent="0.3">
      <c r="A24" s="23" t="s">
        <v>128</v>
      </c>
      <c r="B24" s="23" t="s">
        <v>129</v>
      </c>
      <c r="C24" s="24">
        <v>23765000</v>
      </c>
      <c r="D24" s="24">
        <v>15073118</v>
      </c>
      <c r="E24" s="24">
        <v>22358000</v>
      </c>
      <c r="F24" s="122">
        <f t="shared" si="8"/>
        <v>14158000</v>
      </c>
      <c r="G24" s="25">
        <v>8200000</v>
      </c>
      <c r="H24" s="25"/>
      <c r="I24" s="24"/>
      <c r="J24" s="24">
        <f t="shared" si="9"/>
        <v>0</v>
      </c>
      <c r="K24" s="25"/>
      <c r="L24" s="25"/>
      <c r="M24" s="24">
        <f t="shared" si="11"/>
        <v>22358000</v>
      </c>
      <c r="N24" s="24">
        <f t="shared" si="12"/>
        <v>14158000</v>
      </c>
      <c r="O24" s="24">
        <f t="shared" si="13"/>
        <v>8200000</v>
      </c>
      <c r="P24" s="25"/>
      <c r="Q24" s="24">
        <f>184000+2400000+800000</f>
        <v>3384000</v>
      </c>
      <c r="R24" s="24">
        <f>184000+2400000+800000</f>
        <v>3384000</v>
      </c>
      <c r="S24" s="25"/>
      <c r="T24" s="25"/>
      <c r="U24" s="24">
        <f t="shared" si="16"/>
        <v>25742000</v>
      </c>
      <c r="V24" s="24">
        <f t="shared" si="17"/>
        <v>17542000</v>
      </c>
      <c r="W24" s="24">
        <f t="shared" si="18"/>
        <v>8200000</v>
      </c>
      <c r="X24" s="25"/>
    </row>
    <row r="25" spans="1:24" s="128" customFormat="1" ht="17.100000000000001" customHeight="1" x14ac:dyDescent="0.3">
      <c r="A25" s="221" t="s">
        <v>130</v>
      </c>
      <c r="B25" s="221" t="s">
        <v>131</v>
      </c>
      <c r="C25" s="130">
        <f>SUM(C26:C27)</f>
        <v>3930000</v>
      </c>
      <c r="D25" s="130">
        <f>SUM(D26:D27)</f>
        <v>3142324</v>
      </c>
      <c r="E25" s="130">
        <f>SUM(E26:E27)</f>
        <v>4360000</v>
      </c>
      <c r="F25" s="122">
        <f t="shared" si="8"/>
        <v>3360000</v>
      </c>
      <c r="G25" s="130">
        <f>SUM(G26:G27)</f>
        <v>1000000</v>
      </c>
      <c r="H25" s="142"/>
      <c r="I25" s="130">
        <f>SUM(I26:I27)</f>
        <v>0</v>
      </c>
      <c r="J25" s="130">
        <f t="shared" si="9"/>
        <v>0</v>
      </c>
      <c r="K25" s="130">
        <f>SUM(K26:K27)</f>
        <v>0</v>
      </c>
      <c r="L25" s="142"/>
      <c r="M25" s="130">
        <f t="shared" si="11"/>
        <v>4360000</v>
      </c>
      <c r="N25" s="130">
        <f t="shared" si="12"/>
        <v>3360000</v>
      </c>
      <c r="O25" s="130">
        <f t="shared" si="13"/>
        <v>1000000</v>
      </c>
      <c r="P25" s="142"/>
      <c r="Q25" s="130">
        <f>SUM(Q26:Q27)</f>
        <v>0</v>
      </c>
      <c r="R25" s="130">
        <f>SUM(R26:R27)</f>
        <v>0</v>
      </c>
      <c r="S25" s="130">
        <f>SUM(S26:S27)</f>
        <v>0</v>
      </c>
      <c r="T25" s="142"/>
      <c r="U25" s="130">
        <f t="shared" si="16"/>
        <v>4360000</v>
      </c>
      <c r="V25" s="130">
        <f t="shared" si="17"/>
        <v>3360000</v>
      </c>
      <c r="W25" s="130">
        <f t="shared" si="18"/>
        <v>1000000</v>
      </c>
      <c r="X25" s="142"/>
    </row>
    <row r="26" spans="1:24" s="4" customFormat="1" ht="17.100000000000001" customHeight="1" x14ac:dyDescent="0.3">
      <c r="A26" s="23" t="s">
        <v>132</v>
      </c>
      <c r="B26" s="23" t="s">
        <v>133</v>
      </c>
      <c r="C26" s="24">
        <v>2810000</v>
      </c>
      <c r="D26" s="24">
        <v>2526606</v>
      </c>
      <c r="E26" s="24">
        <v>3240000</v>
      </c>
      <c r="F26" s="122">
        <f t="shared" si="8"/>
        <v>2440000</v>
      </c>
      <c r="G26" s="25">
        <v>800000</v>
      </c>
      <c r="H26" s="25"/>
      <c r="I26" s="24"/>
      <c r="J26" s="24">
        <f t="shared" si="9"/>
        <v>0</v>
      </c>
      <c r="K26" s="25"/>
      <c r="L26" s="25"/>
      <c r="M26" s="24">
        <f t="shared" si="11"/>
        <v>3240000</v>
      </c>
      <c r="N26" s="24">
        <f t="shared" si="12"/>
        <v>2440000</v>
      </c>
      <c r="O26" s="24">
        <f t="shared" si="13"/>
        <v>800000</v>
      </c>
      <c r="P26" s="25"/>
      <c r="Q26" s="24"/>
      <c r="R26" s="24"/>
      <c r="S26" s="25"/>
      <c r="T26" s="25"/>
      <c r="U26" s="24">
        <f t="shared" si="16"/>
        <v>3240000</v>
      </c>
      <c r="V26" s="24">
        <f t="shared" si="17"/>
        <v>2440000</v>
      </c>
      <c r="W26" s="24">
        <f t="shared" si="18"/>
        <v>800000</v>
      </c>
      <c r="X26" s="25"/>
    </row>
    <row r="27" spans="1:24" s="4" customFormat="1" ht="17.100000000000001" customHeight="1" x14ac:dyDescent="0.3">
      <c r="A27" s="23" t="s">
        <v>134</v>
      </c>
      <c r="B27" s="23" t="s">
        <v>135</v>
      </c>
      <c r="C27" s="24">
        <v>1120000</v>
      </c>
      <c r="D27" s="24">
        <v>615718</v>
      </c>
      <c r="E27" s="24">
        <v>1120000</v>
      </c>
      <c r="F27" s="122">
        <f t="shared" si="8"/>
        <v>920000</v>
      </c>
      <c r="G27" s="25">
        <v>200000</v>
      </c>
      <c r="H27" s="25"/>
      <c r="I27" s="24"/>
      <c r="J27" s="24">
        <f t="shared" si="9"/>
        <v>0</v>
      </c>
      <c r="K27" s="25"/>
      <c r="L27" s="25"/>
      <c r="M27" s="24">
        <f t="shared" si="11"/>
        <v>1120000</v>
      </c>
      <c r="N27" s="24">
        <f t="shared" si="12"/>
        <v>920000</v>
      </c>
      <c r="O27" s="24">
        <f t="shared" si="13"/>
        <v>200000</v>
      </c>
      <c r="P27" s="25"/>
      <c r="Q27" s="24"/>
      <c r="R27" s="24"/>
      <c r="S27" s="25"/>
      <c r="T27" s="25"/>
      <c r="U27" s="24">
        <f t="shared" si="16"/>
        <v>1120000</v>
      </c>
      <c r="V27" s="24">
        <f t="shared" si="17"/>
        <v>920000</v>
      </c>
      <c r="W27" s="24">
        <f t="shared" si="18"/>
        <v>200000</v>
      </c>
      <c r="X27" s="25"/>
    </row>
    <row r="28" spans="1:24" s="128" customFormat="1" ht="17.100000000000001" customHeight="1" x14ac:dyDescent="0.3">
      <c r="A28" s="221" t="s">
        <v>136</v>
      </c>
      <c r="B28" s="221" t="s">
        <v>137</v>
      </c>
      <c r="C28" s="132">
        <f>SUM(C29:C35)</f>
        <v>151733200</v>
      </c>
      <c r="D28" s="132">
        <f>SUM(D29:D35)</f>
        <v>88919577</v>
      </c>
      <c r="E28" s="132">
        <f>SUM(E29:E35)</f>
        <v>153461000</v>
      </c>
      <c r="F28" s="122">
        <f t="shared" si="8"/>
        <v>105711000</v>
      </c>
      <c r="G28" s="132">
        <f>SUM(G29:G35)</f>
        <v>47750000</v>
      </c>
      <c r="H28" s="141">
        <v>0</v>
      </c>
      <c r="I28" s="132">
        <f>SUM(I29:I35)</f>
        <v>6427000</v>
      </c>
      <c r="J28" s="132">
        <f>SUM(J29:J35)</f>
        <v>5427000</v>
      </c>
      <c r="K28" s="132">
        <f>SUM(K29:K35)</f>
        <v>1000000</v>
      </c>
      <c r="L28" s="141">
        <v>0</v>
      </c>
      <c r="M28" s="132">
        <f t="shared" si="11"/>
        <v>159888000</v>
      </c>
      <c r="N28" s="132">
        <f t="shared" si="12"/>
        <v>111138000</v>
      </c>
      <c r="O28" s="132">
        <f t="shared" si="13"/>
        <v>48750000</v>
      </c>
      <c r="P28" s="141">
        <v>0</v>
      </c>
      <c r="Q28" s="132">
        <f>SUM(Q29:Q35)</f>
        <v>30283000</v>
      </c>
      <c r="R28" s="132">
        <f>SUM(R29:R35)</f>
        <v>20238000</v>
      </c>
      <c r="S28" s="132">
        <f>SUM(S29:S35)</f>
        <v>10045000</v>
      </c>
      <c r="T28" s="141">
        <v>0</v>
      </c>
      <c r="U28" s="132">
        <f t="shared" si="16"/>
        <v>190171000</v>
      </c>
      <c r="V28" s="132">
        <f t="shared" si="17"/>
        <v>131376000</v>
      </c>
      <c r="W28" s="132">
        <f t="shared" si="18"/>
        <v>58795000</v>
      </c>
      <c r="X28" s="141">
        <v>0</v>
      </c>
    </row>
    <row r="29" spans="1:24" s="4" customFormat="1" ht="17.100000000000001" customHeight="1" x14ac:dyDescent="0.3">
      <c r="A29" s="23" t="s">
        <v>138</v>
      </c>
      <c r="B29" s="23" t="s">
        <v>139</v>
      </c>
      <c r="C29" s="24">
        <v>23280000</v>
      </c>
      <c r="D29" s="24">
        <v>15356045</v>
      </c>
      <c r="E29" s="24">
        <v>26370000</v>
      </c>
      <c r="F29" s="122">
        <f t="shared" si="8"/>
        <v>19870000</v>
      </c>
      <c r="G29" s="25">
        <v>6500000</v>
      </c>
      <c r="H29" s="25"/>
      <c r="I29" s="24"/>
      <c r="J29" s="24">
        <f t="shared" si="9"/>
        <v>0</v>
      </c>
      <c r="K29" s="25"/>
      <c r="L29" s="25"/>
      <c r="M29" s="24">
        <f t="shared" si="11"/>
        <v>26370000</v>
      </c>
      <c r="N29" s="24">
        <f t="shared" si="12"/>
        <v>19870000</v>
      </c>
      <c r="O29" s="24">
        <f t="shared" si="13"/>
        <v>6500000</v>
      </c>
      <c r="P29" s="25"/>
      <c r="Q29" s="24">
        <f>3940000+3200000</f>
        <v>7140000</v>
      </c>
      <c r="R29" s="24">
        <f>3940000+3200000</f>
        <v>7140000</v>
      </c>
      <c r="S29" s="25"/>
      <c r="T29" s="25"/>
      <c r="U29" s="24">
        <f t="shared" si="16"/>
        <v>33510000</v>
      </c>
      <c r="V29" s="24">
        <f t="shared" si="17"/>
        <v>27010000</v>
      </c>
      <c r="W29" s="24">
        <f t="shared" si="18"/>
        <v>6500000</v>
      </c>
      <c r="X29" s="25"/>
    </row>
    <row r="30" spans="1:24" s="4" customFormat="1" ht="17.100000000000001" customHeight="1" x14ac:dyDescent="0.3">
      <c r="A30" s="23" t="s">
        <v>140</v>
      </c>
      <c r="B30" s="23" t="s">
        <v>141</v>
      </c>
      <c r="C30" s="24">
        <v>5101900</v>
      </c>
      <c r="D30" s="24">
        <v>4756542</v>
      </c>
      <c r="E30" s="24">
        <v>5505000</v>
      </c>
      <c r="F30" s="122">
        <f t="shared" si="8"/>
        <v>5455000</v>
      </c>
      <c r="G30" s="25">
        <v>50000</v>
      </c>
      <c r="H30" s="25"/>
      <c r="I30" s="24"/>
      <c r="J30" s="24">
        <f t="shared" si="9"/>
        <v>0</v>
      </c>
      <c r="K30" s="25"/>
      <c r="L30" s="25"/>
      <c r="M30" s="24">
        <f t="shared" si="11"/>
        <v>5505000</v>
      </c>
      <c r="N30" s="24">
        <f t="shared" si="12"/>
        <v>5455000</v>
      </c>
      <c r="O30" s="24">
        <f t="shared" si="13"/>
        <v>50000</v>
      </c>
      <c r="P30" s="25"/>
      <c r="Q30" s="24">
        <f>800000</f>
        <v>800000</v>
      </c>
      <c r="R30" s="24">
        <f>800000</f>
        <v>800000</v>
      </c>
      <c r="S30" s="25"/>
      <c r="T30" s="25"/>
      <c r="U30" s="24">
        <f t="shared" si="16"/>
        <v>6305000</v>
      </c>
      <c r="V30" s="24">
        <f t="shared" si="17"/>
        <v>6255000</v>
      </c>
      <c r="W30" s="24">
        <f t="shared" si="18"/>
        <v>50000</v>
      </c>
      <c r="X30" s="25"/>
    </row>
    <row r="31" spans="1:24" s="4" customFormat="1" ht="17.100000000000001" customHeight="1" x14ac:dyDescent="0.3">
      <c r="A31" s="23" t="s">
        <v>1</v>
      </c>
      <c r="B31" s="23" t="s">
        <v>2</v>
      </c>
      <c r="C31" s="24">
        <v>11400000</v>
      </c>
      <c r="D31" s="24">
        <v>8521592</v>
      </c>
      <c r="E31" s="24">
        <v>12500000</v>
      </c>
      <c r="F31" s="122">
        <f t="shared" si="8"/>
        <v>10000000</v>
      </c>
      <c r="G31" s="25">
        <v>2500000</v>
      </c>
      <c r="H31" s="25"/>
      <c r="I31" s="24">
        <v>300000</v>
      </c>
      <c r="J31" s="24">
        <f t="shared" si="9"/>
        <v>300000</v>
      </c>
      <c r="K31" s="25"/>
      <c r="L31" s="25"/>
      <c r="M31" s="24">
        <f t="shared" si="11"/>
        <v>12800000</v>
      </c>
      <c r="N31" s="24">
        <f t="shared" si="12"/>
        <v>10300000</v>
      </c>
      <c r="O31" s="24">
        <f t="shared" si="13"/>
        <v>2500000</v>
      </c>
      <c r="P31" s="25"/>
      <c r="Q31" s="24">
        <f>5000+300000+1840000</f>
        <v>2145000</v>
      </c>
      <c r="R31" s="24">
        <f>300000</f>
        <v>300000</v>
      </c>
      <c r="S31" s="25">
        <f>5000+1840000</f>
        <v>1845000</v>
      </c>
      <c r="T31" s="25"/>
      <c r="U31" s="24">
        <f t="shared" si="16"/>
        <v>14945000</v>
      </c>
      <c r="V31" s="24">
        <f t="shared" si="17"/>
        <v>10600000</v>
      </c>
      <c r="W31" s="24">
        <f t="shared" si="18"/>
        <v>4345000</v>
      </c>
      <c r="X31" s="25"/>
    </row>
    <row r="32" spans="1:24" s="4" customFormat="1" ht="17.100000000000001" customHeight="1" x14ac:dyDescent="0.3">
      <c r="A32" s="23" t="s">
        <v>142</v>
      </c>
      <c r="B32" s="23" t="s">
        <v>143</v>
      </c>
      <c r="C32" s="24">
        <v>13350000</v>
      </c>
      <c r="D32" s="24">
        <v>3245727</v>
      </c>
      <c r="E32" s="24">
        <v>12750000</v>
      </c>
      <c r="F32" s="122">
        <f t="shared" si="8"/>
        <v>10850000</v>
      </c>
      <c r="G32" s="25">
        <v>1900000</v>
      </c>
      <c r="H32" s="25"/>
      <c r="I32" s="24">
        <f>227000+1200000</f>
        <v>1427000</v>
      </c>
      <c r="J32" s="24">
        <f t="shared" si="9"/>
        <v>1427000</v>
      </c>
      <c r="K32" s="25"/>
      <c r="L32" s="25"/>
      <c r="M32" s="24">
        <f t="shared" si="11"/>
        <v>14177000</v>
      </c>
      <c r="N32" s="24">
        <f t="shared" si="12"/>
        <v>12277000</v>
      </c>
      <c r="O32" s="24">
        <f t="shared" si="13"/>
        <v>1900000</v>
      </c>
      <c r="P32" s="25"/>
      <c r="Q32" s="24"/>
      <c r="R32" s="24"/>
      <c r="S32" s="25"/>
      <c r="T32" s="25"/>
      <c r="U32" s="24">
        <f t="shared" si="16"/>
        <v>14177000</v>
      </c>
      <c r="V32" s="24">
        <f t="shared" si="17"/>
        <v>12277000</v>
      </c>
      <c r="W32" s="24">
        <f t="shared" si="18"/>
        <v>1900000</v>
      </c>
      <c r="X32" s="25"/>
    </row>
    <row r="33" spans="1:24" s="4" customFormat="1" ht="17.100000000000001" customHeight="1" x14ac:dyDescent="0.3">
      <c r="A33" s="23" t="s">
        <v>144</v>
      </c>
      <c r="B33" s="23" t="s">
        <v>145</v>
      </c>
      <c r="C33" s="24">
        <v>3370000</v>
      </c>
      <c r="D33" s="24">
        <f>479786+1407175</f>
        <v>1886961</v>
      </c>
      <c r="E33" s="24">
        <v>3400000</v>
      </c>
      <c r="F33" s="122">
        <f t="shared" si="8"/>
        <v>3400000</v>
      </c>
      <c r="G33" s="25">
        <v>0</v>
      </c>
      <c r="H33" s="25"/>
      <c r="I33" s="24"/>
      <c r="J33" s="24">
        <f t="shared" si="9"/>
        <v>0</v>
      </c>
      <c r="K33" s="25"/>
      <c r="L33" s="25"/>
      <c r="M33" s="24">
        <f t="shared" si="11"/>
        <v>3400000</v>
      </c>
      <c r="N33" s="24">
        <f t="shared" si="12"/>
        <v>3400000</v>
      </c>
      <c r="O33" s="24">
        <f t="shared" si="13"/>
        <v>0</v>
      </c>
      <c r="P33" s="25"/>
      <c r="Q33" s="24"/>
      <c r="R33" s="24"/>
      <c r="S33" s="25"/>
      <c r="T33" s="25"/>
      <c r="U33" s="24">
        <f t="shared" si="16"/>
        <v>3400000</v>
      </c>
      <c r="V33" s="24">
        <f t="shared" si="17"/>
        <v>3400000</v>
      </c>
      <c r="W33" s="24">
        <f t="shared" si="18"/>
        <v>0</v>
      </c>
      <c r="X33" s="25"/>
    </row>
    <row r="34" spans="1:24" s="4" customFormat="1" ht="17.100000000000001" customHeight="1" x14ac:dyDescent="0.3">
      <c r="A34" s="23" t="s">
        <v>146</v>
      </c>
      <c r="B34" s="23" t="s">
        <v>147</v>
      </c>
      <c r="C34" s="24">
        <v>8793000</v>
      </c>
      <c r="D34" s="24">
        <v>6174180</v>
      </c>
      <c r="E34" s="24">
        <v>9540000</v>
      </c>
      <c r="F34" s="122">
        <f t="shared" si="8"/>
        <v>7940000</v>
      </c>
      <c r="G34" s="25">
        <v>1600000</v>
      </c>
      <c r="H34" s="25"/>
      <c r="I34" s="24">
        <f>1000000</f>
        <v>1000000</v>
      </c>
      <c r="J34" s="24"/>
      <c r="K34" s="25">
        <v>1000000</v>
      </c>
      <c r="L34" s="25"/>
      <c r="M34" s="24">
        <f t="shared" si="11"/>
        <v>10540000</v>
      </c>
      <c r="N34" s="24">
        <f t="shared" si="12"/>
        <v>7940000</v>
      </c>
      <c r="O34" s="24">
        <f t="shared" si="13"/>
        <v>2600000</v>
      </c>
      <c r="P34" s="25"/>
      <c r="Q34" s="24"/>
      <c r="R34" s="24"/>
      <c r="S34" s="25"/>
      <c r="T34" s="25"/>
      <c r="U34" s="24">
        <f t="shared" si="16"/>
        <v>10540000</v>
      </c>
      <c r="V34" s="24">
        <f t="shared" si="17"/>
        <v>7940000</v>
      </c>
      <c r="W34" s="24">
        <f t="shared" si="18"/>
        <v>2600000</v>
      </c>
      <c r="X34" s="25"/>
    </row>
    <row r="35" spans="1:24" s="4" customFormat="1" ht="17.100000000000001" customHeight="1" x14ac:dyDescent="0.3">
      <c r="A35" s="23" t="s">
        <v>148</v>
      </c>
      <c r="B35" s="23" t="s">
        <v>149</v>
      </c>
      <c r="C35" s="24">
        <v>86438300</v>
      </c>
      <c r="D35" s="24">
        <f>48287338+691192</f>
        <v>48978530</v>
      </c>
      <c r="E35" s="24">
        <v>83396000</v>
      </c>
      <c r="F35" s="122">
        <f t="shared" si="8"/>
        <v>48196000</v>
      </c>
      <c r="G35" s="25">
        <v>35200000</v>
      </c>
      <c r="H35" s="25"/>
      <c r="I35" s="24">
        <f>3700000</f>
        <v>3700000</v>
      </c>
      <c r="J35" s="24">
        <f t="shared" si="9"/>
        <v>3700000</v>
      </c>
      <c r="K35" s="25"/>
      <c r="L35" s="25"/>
      <c r="M35" s="24">
        <f t="shared" si="11"/>
        <v>87096000</v>
      </c>
      <c r="N35" s="24">
        <f t="shared" si="12"/>
        <v>51896000</v>
      </c>
      <c r="O35" s="24">
        <f t="shared" si="13"/>
        <v>35200000</v>
      </c>
      <c r="P35" s="25"/>
      <c r="Q35" s="24">
        <f>800000+1000000+7998000+5000000+2400000+3000000</f>
        <v>20198000</v>
      </c>
      <c r="R35" s="24">
        <f>1000000+7998000+3000000</f>
        <v>11998000</v>
      </c>
      <c r="S35" s="25">
        <f>800000+5000000+2400000</f>
        <v>8200000</v>
      </c>
      <c r="T35" s="25"/>
      <c r="U35" s="24">
        <f t="shared" si="16"/>
        <v>107294000</v>
      </c>
      <c r="V35" s="24">
        <f t="shared" si="17"/>
        <v>63894000</v>
      </c>
      <c r="W35" s="24">
        <f t="shared" si="18"/>
        <v>43400000</v>
      </c>
      <c r="X35" s="25"/>
    </row>
    <row r="36" spans="1:24" s="128" customFormat="1" ht="17.100000000000001" customHeight="1" x14ac:dyDescent="0.3">
      <c r="A36" s="221" t="s">
        <v>150</v>
      </c>
      <c r="B36" s="221" t="s">
        <v>151</v>
      </c>
      <c r="C36" s="130">
        <f>1670000+2037000</f>
        <v>3707000</v>
      </c>
      <c r="D36" s="130">
        <f>1627080+1516010</f>
        <v>3143090</v>
      </c>
      <c r="E36" s="130">
        <v>6159000</v>
      </c>
      <c r="F36" s="122">
        <f t="shared" si="8"/>
        <v>5759000</v>
      </c>
      <c r="G36" s="142">
        <v>400000</v>
      </c>
      <c r="H36" s="142"/>
      <c r="I36" s="130">
        <f>675000+510000</f>
        <v>1185000</v>
      </c>
      <c r="J36" s="130">
        <f t="shared" si="9"/>
        <v>1185000</v>
      </c>
      <c r="K36" s="142"/>
      <c r="L36" s="142"/>
      <c r="M36" s="130">
        <f t="shared" si="11"/>
        <v>7344000</v>
      </c>
      <c r="N36" s="130">
        <f t="shared" si="12"/>
        <v>6944000</v>
      </c>
      <c r="O36" s="130">
        <f t="shared" si="13"/>
        <v>400000</v>
      </c>
      <c r="P36" s="142"/>
      <c r="Q36" s="130">
        <f>10000+400000</f>
        <v>410000</v>
      </c>
      <c r="R36" s="130">
        <f>10000+400000</f>
        <v>410000</v>
      </c>
      <c r="S36" s="142"/>
      <c r="T36" s="142"/>
      <c r="U36" s="130">
        <f t="shared" si="16"/>
        <v>7754000</v>
      </c>
      <c r="V36" s="130">
        <f t="shared" si="17"/>
        <v>7354000</v>
      </c>
      <c r="W36" s="130">
        <f t="shared" si="18"/>
        <v>400000</v>
      </c>
      <c r="X36" s="142"/>
    </row>
    <row r="37" spans="1:24" s="128" customFormat="1" ht="17.100000000000001" customHeight="1" x14ac:dyDescent="0.3">
      <c r="A37" s="221" t="s">
        <v>152</v>
      </c>
      <c r="B37" s="221" t="s">
        <v>153</v>
      </c>
      <c r="C37" s="130">
        <f t="shared" ref="C37:H37" si="35">SUM(C38:C40)</f>
        <v>139150750</v>
      </c>
      <c r="D37" s="130">
        <f t="shared" si="35"/>
        <v>73986560</v>
      </c>
      <c r="E37" s="130">
        <f t="shared" si="35"/>
        <v>132274000</v>
      </c>
      <c r="F37" s="122">
        <f t="shared" si="8"/>
        <v>87033000</v>
      </c>
      <c r="G37" s="130">
        <f t="shared" ref="G37" si="36">SUM(G38:G40)</f>
        <v>45241000</v>
      </c>
      <c r="H37" s="130">
        <f t="shared" si="35"/>
        <v>0</v>
      </c>
      <c r="I37" s="130">
        <f t="shared" ref="I37" si="37">SUM(I38:I40)</f>
        <v>0</v>
      </c>
      <c r="J37" s="130">
        <f t="shared" si="9"/>
        <v>0</v>
      </c>
      <c r="K37" s="130">
        <f t="shared" ref="K37" si="38">SUM(K38:K40)</f>
        <v>0</v>
      </c>
      <c r="L37" s="130">
        <f t="shared" ref="L37" si="39">SUM(L38:L40)</f>
        <v>0</v>
      </c>
      <c r="M37" s="130">
        <f t="shared" si="11"/>
        <v>132274000</v>
      </c>
      <c r="N37" s="130">
        <f t="shared" si="12"/>
        <v>87033000</v>
      </c>
      <c r="O37" s="130">
        <f t="shared" si="13"/>
        <v>45241000</v>
      </c>
      <c r="P37" s="130">
        <f t="shared" ref="P37:Q37" si="40">SUM(P38:P40)</f>
        <v>0</v>
      </c>
      <c r="Q37" s="130">
        <f t="shared" si="40"/>
        <v>18221680</v>
      </c>
      <c r="R37" s="130">
        <f t="shared" ref="R37" si="41">SUM(R38:R40)</f>
        <v>4334680</v>
      </c>
      <c r="S37" s="130">
        <f t="shared" ref="S37:T37" si="42">SUM(S38:S40)</f>
        <v>13887000</v>
      </c>
      <c r="T37" s="130">
        <f t="shared" si="42"/>
        <v>0</v>
      </c>
      <c r="U37" s="130">
        <f t="shared" si="16"/>
        <v>150495680</v>
      </c>
      <c r="V37" s="130">
        <f t="shared" si="17"/>
        <v>91367680</v>
      </c>
      <c r="W37" s="130">
        <f t="shared" si="18"/>
        <v>59128000</v>
      </c>
      <c r="X37" s="130">
        <f t="shared" ref="X37" si="43">SUM(X38:X40)</f>
        <v>0</v>
      </c>
    </row>
    <row r="38" spans="1:24" s="4" customFormat="1" ht="17.100000000000001" customHeight="1" x14ac:dyDescent="0.3">
      <c r="A38" s="23" t="s">
        <v>154</v>
      </c>
      <c r="B38" s="23" t="s">
        <v>155</v>
      </c>
      <c r="C38" s="133">
        <v>37887750</v>
      </c>
      <c r="D38" s="133">
        <v>20319706</v>
      </c>
      <c r="E38" s="133">
        <v>46654000</v>
      </c>
      <c r="F38" s="122">
        <f t="shared" si="8"/>
        <v>31413000</v>
      </c>
      <c r="G38" s="133">
        <v>15241000</v>
      </c>
      <c r="H38" s="133"/>
      <c r="I38" s="133"/>
      <c r="J38" s="133">
        <f t="shared" si="9"/>
        <v>0</v>
      </c>
      <c r="K38" s="133"/>
      <c r="L38" s="133"/>
      <c r="M38" s="133">
        <f t="shared" si="11"/>
        <v>46654000</v>
      </c>
      <c r="N38" s="133">
        <f t="shared" si="12"/>
        <v>31413000</v>
      </c>
      <c r="O38" s="133">
        <f t="shared" si="13"/>
        <v>15241000</v>
      </c>
      <c r="P38" s="133"/>
      <c r="Q38" s="133">
        <f>216000+2000+49680+648000+1350000+460000+1060000+200000+600000+200000+1610000</f>
        <v>6395680</v>
      </c>
      <c r="R38" s="133">
        <f>49680+648000+1060000+200000+200000+1610000</f>
        <v>3767680</v>
      </c>
      <c r="S38" s="133">
        <f>216000+2000+1350000+460000+600000</f>
        <v>2628000</v>
      </c>
      <c r="T38" s="133"/>
      <c r="U38" s="133">
        <f t="shared" si="16"/>
        <v>53049680</v>
      </c>
      <c r="V38" s="133">
        <f t="shared" si="17"/>
        <v>35180680</v>
      </c>
      <c r="W38" s="133">
        <f t="shared" si="18"/>
        <v>17869000</v>
      </c>
      <c r="X38" s="133"/>
    </row>
    <row r="39" spans="1:24" s="4" customFormat="1" ht="17.100000000000001" customHeight="1" x14ac:dyDescent="0.3">
      <c r="A39" s="23" t="s">
        <v>156</v>
      </c>
      <c r="B39" s="23" t="s">
        <v>157</v>
      </c>
      <c r="C39" s="24">
        <v>99723000</v>
      </c>
      <c r="D39" s="133">
        <v>53448000</v>
      </c>
      <c r="E39" s="24">
        <v>84370000</v>
      </c>
      <c r="F39" s="122">
        <f t="shared" si="8"/>
        <v>54370000</v>
      </c>
      <c r="G39" s="25">
        <v>30000000</v>
      </c>
      <c r="H39" s="25"/>
      <c r="I39" s="24"/>
      <c r="J39" s="24">
        <f t="shared" si="9"/>
        <v>0</v>
      </c>
      <c r="K39" s="25"/>
      <c r="L39" s="25"/>
      <c r="M39" s="24">
        <f t="shared" si="11"/>
        <v>84370000</v>
      </c>
      <c r="N39" s="24">
        <f t="shared" si="12"/>
        <v>54370000</v>
      </c>
      <c r="O39" s="24">
        <f t="shared" si="13"/>
        <v>30000000</v>
      </c>
      <c r="P39" s="25"/>
      <c r="Q39" s="24">
        <f>10179000+729000+567000+351000</f>
        <v>11826000</v>
      </c>
      <c r="R39" s="24">
        <f>567000</f>
        <v>567000</v>
      </c>
      <c r="S39" s="25">
        <f>10179000+729000+351000</f>
        <v>11259000</v>
      </c>
      <c r="T39" s="25"/>
      <c r="U39" s="24">
        <f t="shared" si="16"/>
        <v>96196000</v>
      </c>
      <c r="V39" s="24">
        <f t="shared" si="17"/>
        <v>54937000</v>
      </c>
      <c r="W39" s="24">
        <f t="shared" si="18"/>
        <v>41259000</v>
      </c>
      <c r="X39" s="25"/>
    </row>
    <row r="40" spans="1:24" s="4" customFormat="1" ht="17.100000000000001" customHeight="1" x14ac:dyDescent="0.3">
      <c r="A40" s="23" t="s">
        <v>158</v>
      </c>
      <c r="B40" s="23" t="s">
        <v>159</v>
      </c>
      <c r="C40" s="24">
        <v>1540000</v>
      </c>
      <c r="D40" s="133">
        <v>218854</v>
      </c>
      <c r="E40" s="133">
        <v>1250000</v>
      </c>
      <c r="F40" s="122">
        <f t="shared" si="8"/>
        <v>1250000</v>
      </c>
      <c r="G40" s="133">
        <v>0</v>
      </c>
      <c r="H40" s="133"/>
      <c r="I40" s="133"/>
      <c r="J40" s="133">
        <f t="shared" si="9"/>
        <v>0</v>
      </c>
      <c r="K40" s="133">
        <v>0</v>
      </c>
      <c r="L40" s="133"/>
      <c r="M40" s="133">
        <f t="shared" si="11"/>
        <v>1250000</v>
      </c>
      <c r="N40" s="133">
        <f t="shared" si="12"/>
        <v>1250000</v>
      </c>
      <c r="O40" s="133">
        <f t="shared" si="13"/>
        <v>0</v>
      </c>
      <c r="P40" s="133"/>
      <c r="Q40" s="133"/>
      <c r="R40" s="133"/>
      <c r="S40" s="133">
        <v>0</v>
      </c>
      <c r="T40" s="133"/>
      <c r="U40" s="133">
        <f t="shared" si="16"/>
        <v>1250000</v>
      </c>
      <c r="V40" s="133">
        <f t="shared" si="17"/>
        <v>1250000</v>
      </c>
      <c r="W40" s="133">
        <f t="shared" si="18"/>
        <v>0</v>
      </c>
      <c r="X40" s="133"/>
    </row>
    <row r="41" spans="1:24" s="3" customFormat="1" ht="17.100000000000001" customHeight="1" x14ac:dyDescent="0.3">
      <c r="A41" s="26" t="s">
        <v>160</v>
      </c>
      <c r="B41" s="26" t="s">
        <v>161</v>
      </c>
      <c r="C41" s="122">
        <f>SUM(C42:C43)</f>
        <v>9500000</v>
      </c>
      <c r="D41" s="122">
        <f>SUM(D42:D43)</f>
        <v>4724485</v>
      </c>
      <c r="E41" s="122">
        <f>SUM(E42:E43)</f>
        <v>8400000</v>
      </c>
      <c r="F41" s="122">
        <f t="shared" si="8"/>
        <v>8400000</v>
      </c>
      <c r="G41" s="134">
        <f t="shared" ref="G41:H41" si="44">SUM(G42:G43)</f>
        <v>0</v>
      </c>
      <c r="H41" s="134">
        <f t="shared" si="44"/>
        <v>0</v>
      </c>
      <c r="I41" s="122">
        <f>SUM(I42:I43)</f>
        <v>0</v>
      </c>
      <c r="J41" s="122">
        <f t="shared" si="9"/>
        <v>0</v>
      </c>
      <c r="K41" s="134">
        <f t="shared" ref="K41:L41" si="45">SUM(K42:K43)</f>
        <v>0</v>
      </c>
      <c r="L41" s="134">
        <f t="shared" si="45"/>
        <v>0</v>
      </c>
      <c r="M41" s="122">
        <f t="shared" si="11"/>
        <v>8400000</v>
      </c>
      <c r="N41" s="122">
        <f t="shared" si="12"/>
        <v>8400000</v>
      </c>
      <c r="O41" s="122">
        <f t="shared" si="13"/>
        <v>0</v>
      </c>
      <c r="P41" s="134">
        <f t="shared" ref="P41" si="46">SUM(P42:P43)</f>
        <v>0</v>
      </c>
      <c r="Q41" s="122">
        <f>SUM(Q42:Q43)</f>
        <v>0</v>
      </c>
      <c r="R41" s="122">
        <f>SUM(R42:R43)</f>
        <v>0</v>
      </c>
      <c r="S41" s="134">
        <f t="shared" ref="S41:T41" si="47">SUM(S42:S43)</f>
        <v>0</v>
      </c>
      <c r="T41" s="134">
        <f t="shared" si="47"/>
        <v>0</v>
      </c>
      <c r="U41" s="122">
        <f t="shared" si="16"/>
        <v>8400000</v>
      </c>
      <c r="V41" s="122">
        <f t="shared" si="17"/>
        <v>8400000</v>
      </c>
      <c r="W41" s="122">
        <f t="shared" si="18"/>
        <v>0</v>
      </c>
      <c r="X41" s="134">
        <f t="shared" ref="X41" si="48">SUM(X42:X43)</f>
        <v>0</v>
      </c>
    </row>
    <row r="42" spans="1:24" s="3" customFormat="1" ht="17.100000000000001" customHeight="1" x14ac:dyDescent="0.3">
      <c r="A42" s="23" t="s">
        <v>162</v>
      </c>
      <c r="B42" s="23" t="s">
        <v>163</v>
      </c>
      <c r="C42" s="24">
        <v>0</v>
      </c>
      <c r="D42" s="24">
        <v>0</v>
      </c>
      <c r="E42" s="24">
        <v>0</v>
      </c>
      <c r="F42" s="122">
        <f t="shared" si="8"/>
        <v>0</v>
      </c>
      <c r="G42" s="25">
        <v>0</v>
      </c>
      <c r="H42" s="25"/>
      <c r="I42" s="24">
        <v>0</v>
      </c>
      <c r="J42" s="24">
        <f t="shared" si="9"/>
        <v>0</v>
      </c>
      <c r="K42" s="25"/>
      <c r="L42" s="25"/>
      <c r="M42" s="24">
        <f t="shared" si="11"/>
        <v>0</v>
      </c>
      <c r="N42" s="24">
        <f t="shared" si="12"/>
        <v>0</v>
      </c>
      <c r="O42" s="24">
        <f t="shared" si="13"/>
        <v>0</v>
      </c>
      <c r="P42" s="25"/>
      <c r="Q42" s="24">
        <v>0</v>
      </c>
      <c r="R42" s="24">
        <v>0</v>
      </c>
      <c r="S42" s="25"/>
      <c r="T42" s="25"/>
      <c r="U42" s="24">
        <f t="shared" si="16"/>
        <v>0</v>
      </c>
      <c r="V42" s="24">
        <f t="shared" si="17"/>
        <v>0</v>
      </c>
      <c r="W42" s="24">
        <f t="shared" si="18"/>
        <v>0</v>
      </c>
      <c r="X42" s="25"/>
    </row>
    <row r="43" spans="1:24" s="3" customFormat="1" ht="17.100000000000001" customHeight="1" x14ac:dyDescent="0.3">
      <c r="A43" s="23" t="s">
        <v>164</v>
      </c>
      <c r="B43" s="23" t="s">
        <v>165</v>
      </c>
      <c r="C43" s="24">
        <v>9500000</v>
      </c>
      <c r="D43" s="24">
        <f>914485+3810000</f>
        <v>4724485</v>
      </c>
      <c r="E43" s="24">
        <v>8400000</v>
      </c>
      <c r="F43" s="122">
        <f t="shared" si="8"/>
        <v>8400000</v>
      </c>
      <c r="G43" s="25">
        <v>0</v>
      </c>
      <c r="H43" s="25"/>
      <c r="I43" s="24"/>
      <c r="J43" s="24">
        <f t="shared" si="9"/>
        <v>0</v>
      </c>
      <c r="K43" s="25"/>
      <c r="L43" s="25"/>
      <c r="M43" s="24">
        <f t="shared" si="11"/>
        <v>8400000</v>
      </c>
      <c r="N43" s="24">
        <f t="shared" si="12"/>
        <v>8400000</v>
      </c>
      <c r="O43" s="24">
        <f t="shared" si="13"/>
        <v>0</v>
      </c>
      <c r="P43" s="25"/>
      <c r="Q43" s="24"/>
      <c r="R43" s="24"/>
      <c r="S43" s="25"/>
      <c r="T43" s="25"/>
      <c r="U43" s="24">
        <f t="shared" si="16"/>
        <v>8400000</v>
      </c>
      <c r="V43" s="24">
        <f t="shared" si="17"/>
        <v>8400000</v>
      </c>
      <c r="W43" s="24">
        <f t="shared" si="18"/>
        <v>0</v>
      </c>
      <c r="X43" s="25"/>
    </row>
    <row r="44" spans="1:24" s="3" customFormat="1" ht="17.100000000000001" customHeight="1" x14ac:dyDescent="0.3">
      <c r="A44" s="26" t="s">
        <v>166</v>
      </c>
      <c r="B44" s="26" t="s">
        <v>167</v>
      </c>
      <c r="C44" s="122">
        <f t="shared" ref="C44:H44" si="49">SUM(C45:C49)</f>
        <v>262242194</v>
      </c>
      <c r="D44" s="122">
        <f t="shared" si="49"/>
        <v>160006258</v>
      </c>
      <c r="E44" s="122">
        <f t="shared" si="49"/>
        <v>181212413</v>
      </c>
      <c r="F44" s="122">
        <f t="shared" si="8"/>
        <v>181212413</v>
      </c>
      <c r="G44" s="122">
        <f t="shared" ref="G44" si="50">SUM(G45:G49)</f>
        <v>0</v>
      </c>
      <c r="H44" s="134">
        <f t="shared" si="49"/>
        <v>0</v>
      </c>
      <c r="I44" s="122">
        <f t="shared" ref="I44" si="51">SUM(I45:I49)</f>
        <v>23129617</v>
      </c>
      <c r="J44" s="122">
        <f t="shared" si="9"/>
        <v>23129617</v>
      </c>
      <c r="K44" s="122">
        <f t="shared" ref="K44" si="52">SUM(K45:K49)</f>
        <v>0</v>
      </c>
      <c r="L44" s="134">
        <f t="shared" ref="L44" si="53">SUM(L45:L49)</f>
        <v>0</v>
      </c>
      <c r="M44" s="122">
        <f t="shared" si="11"/>
        <v>204342030</v>
      </c>
      <c r="N44" s="122">
        <f t="shared" si="12"/>
        <v>204342030</v>
      </c>
      <c r="O44" s="122">
        <f t="shared" si="13"/>
        <v>0</v>
      </c>
      <c r="P44" s="134">
        <f t="shared" ref="P44:Q44" si="54">SUM(P45:P49)</f>
        <v>0</v>
      </c>
      <c r="Q44" s="122">
        <f t="shared" si="54"/>
        <v>-274360</v>
      </c>
      <c r="R44" s="122">
        <f>SUM(R45:R49)</f>
        <v>-274360</v>
      </c>
      <c r="S44" s="122">
        <f t="shared" ref="S44:T44" si="55">SUM(S45:S49)</f>
        <v>0</v>
      </c>
      <c r="T44" s="134">
        <f t="shared" si="55"/>
        <v>0</v>
      </c>
      <c r="U44" s="122">
        <f t="shared" si="16"/>
        <v>204067670</v>
      </c>
      <c r="V44" s="122">
        <f t="shared" si="17"/>
        <v>204067670</v>
      </c>
      <c r="W44" s="122">
        <f t="shared" si="18"/>
        <v>0</v>
      </c>
      <c r="X44" s="134">
        <f t="shared" ref="X44" si="56">SUM(X45:X49)</f>
        <v>0</v>
      </c>
    </row>
    <row r="45" spans="1:24" s="3" customFormat="1" ht="17.100000000000001" customHeight="1" x14ac:dyDescent="0.3">
      <c r="A45" s="23" t="s">
        <v>168</v>
      </c>
      <c r="B45" s="23" t="s">
        <v>169</v>
      </c>
      <c r="C45" s="24">
        <v>5100000</v>
      </c>
      <c r="D45" s="24">
        <v>4808808</v>
      </c>
      <c r="E45" s="24">
        <v>2500000</v>
      </c>
      <c r="F45" s="122">
        <f t="shared" si="8"/>
        <v>2500000</v>
      </c>
      <c r="G45" s="25">
        <v>0</v>
      </c>
      <c r="H45" s="25"/>
      <c r="I45" s="24"/>
      <c r="J45" s="24">
        <f t="shared" si="9"/>
        <v>0</v>
      </c>
      <c r="K45" s="25"/>
      <c r="L45" s="25"/>
      <c r="M45" s="24">
        <f t="shared" si="11"/>
        <v>2500000</v>
      </c>
      <c r="N45" s="24">
        <f t="shared" si="12"/>
        <v>2500000</v>
      </c>
      <c r="O45" s="24">
        <f t="shared" si="13"/>
        <v>0</v>
      </c>
      <c r="P45" s="25"/>
      <c r="Q45" s="24">
        <v>-1000000</v>
      </c>
      <c r="R45" s="24">
        <v>-1000000</v>
      </c>
      <c r="S45" s="25"/>
      <c r="T45" s="25"/>
      <c r="U45" s="24">
        <f t="shared" si="16"/>
        <v>1500000</v>
      </c>
      <c r="V45" s="24">
        <f t="shared" si="17"/>
        <v>1500000</v>
      </c>
      <c r="W45" s="24">
        <f t="shared" si="18"/>
        <v>0</v>
      </c>
      <c r="X45" s="25"/>
    </row>
    <row r="46" spans="1:24" s="3" customFormat="1" ht="17.100000000000001" customHeight="1" x14ac:dyDescent="0.3">
      <c r="A46" s="23" t="s">
        <v>170</v>
      </c>
      <c r="B46" s="23" t="s">
        <v>171</v>
      </c>
      <c r="C46" s="24">
        <v>138977400</v>
      </c>
      <c r="D46" s="24">
        <f>450000+3346000+283724+4418231+111429995</f>
        <v>119927950</v>
      </c>
      <c r="E46" s="24">
        <v>106788000</v>
      </c>
      <c r="F46" s="122">
        <f t="shared" si="8"/>
        <v>106788000</v>
      </c>
      <c r="G46" s="25">
        <v>0</v>
      </c>
      <c r="H46" s="25"/>
      <c r="I46" s="24">
        <v>36131449</v>
      </c>
      <c r="J46" s="24">
        <f t="shared" si="9"/>
        <v>36131449</v>
      </c>
      <c r="K46" s="25"/>
      <c r="L46" s="25"/>
      <c r="M46" s="24">
        <f t="shared" si="11"/>
        <v>142919449</v>
      </c>
      <c r="N46" s="24">
        <f t="shared" si="12"/>
        <v>142919449</v>
      </c>
      <c r="O46" s="24">
        <f t="shared" si="13"/>
        <v>0</v>
      </c>
      <c r="P46" s="25"/>
      <c r="Q46" s="24">
        <f>5332000+2700000</f>
        <v>8032000</v>
      </c>
      <c r="R46" s="24">
        <f>5332000+2700000</f>
        <v>8032000</v>
      </c>
      <c r="S46" s="25"/>
      <c r="T46" s="25"/>
      <c r="U46" s="24">
        <f t="shared" si="16"/>
        <v>150951449</v>
      </c>
      <c r="V46" s="24">
        <f t="shared" si="17"/>
        <v>150951449</v>
      </c>
      <c r="W46" s="24">
        <f t="shared" si="18"/>
        <v>0</v>
      </c>
      <c r="X46" s="25"/>
    </row>
    <row r="47" spans="1:24" s="3" customFormat="1" ht="17.100000000000001" customHeight="1" x14ac:dyDescent="0.3">
      <c r="A47" s="23" t="s">
        <v>172</v>
      </c>
      <c r="B47" s="23" t="s">
        <v>173</v>
      </c>
      <c r="C47" s="24">
        <v>0</v>
      </c>
      <c r="D47" s="24">
        <v>0</v>
      </c>
      <c r="E47" s="24">
        <v>0</v>
      </c>
      <c r="F47" s="122">
        <f t="shared" si="8"/>
        <v>0</v>
      </c>
      <c r="G47" s="25">
        <v>0</v>
      </c>
      <c r="H47" s="25"/>
      <c r="I47" s="24"/>
      <c r="J47" s="24">
        <f t="shared" si="9"/>
        <v>0</v>
      </c>
      <c r="K47" s="25"/>
      <c r="L47" s="25"/>
      <c r="M47" s="24">
        <f t="shared" si="11"/>
        <v>0</v>
      </c>
      <c r="N47" s="24">
        <f t="shared" si="12"/>
        <v>0</v>
      </c>
      <c r="O47" s="24">
        <f t="shared" si="13"/>
        <v>0</v>
      </c>
      <c r="P47" s="25"/>
      <c r="Q47" s="24"/>
      <c r="R47" s="24"/>
      <c r="S47" s="25"/>
      <c r="T47" s="25"/>
      <c r="U47" s="24">
        <f t="shared" si="16"/>
        <v>0</v>
      </c>
      <c r="V47" s="24">
        <f t="shared" si="17"/>
        <v>0</v>
      </c>
      <c r="W47" s="24">
        <f t="shared" si="18"/>
        <v>0</v>
      </c>
      <c r="X47" s="25"/>
    </row>
    <row r="48" spans="1:24" s="3" customFormat="1" ht="17.100000000000001" customHeight="1" x14ac:dyDescent="0.3">
      <c r="A48" s="23" t="s">
        <v>174</v>
      </c>
      <c r="B48" s="23" t="s">
        <v>175</v>
      </c>
      <c r="C48" s="24">
        <f>35989500</f>
        <v>35989500</v>
      </c>
      <c r="D48" s="24">
        <f>23669500+11600000</f>
        <v>35269500</v>
      </c>
      <c r="E48" s="24">
        <v>39300000</v>
      </c>
      <c r="F48" s="122">
        <f t="shared" si="8"/>
        <v>39300000</v>
      </c>
      <c r="G48" s="25">
        <v>0</v>
      </c>
      <c r="H48" s="25"/>
      <c r="I48" s="24">
        <f>2180000+350000</f>
        <v>2530000</v>
      </c>
      <c r="J48" s="24">
        <f t="shared" si="9"/>
        <v>2530000</v>
      </c>
      <c r="K48" s="25"/>
      <c r="L48" s="25"/>
      <c r="M48" s="24">
        <f t="shared" si="11"/>
        <v>41830000</v>
      </c>
      <c r="N48" s="24">
        <f t="shared" si="12"/>
        <v>41830000</v>
      </c>
      <c r="O48" s="24">
        <f t="shared" si="13"/>
        <v>0</v>
      </c>
      <c r="P48" s="25"/>
      <c r="Q48" s="24">
        <f>-1566000</f>
        <v>-1566000</v>
      </c>
      <c r="R48" s="24">
        <f>-1566000</f>
        <v>-1566000</v>
      </c>
      <c r="S48" s="25"/>
      <c r="T48" s="25"/>
      <c r="U48" s="24">
        <f t="shared" si="16"/>
        <v>40264000</v>
      </c>
      <c r="V48" s="24">
        <f t="shared" si="17"/>
        <v>40264000</v>
      </c>
      <c r="W48" s="24">
        <f t="shared" si="18"/>
        <v>0</v>
      </c>
      <c r="X48" s="25"/>
    </row>
    <row r="49" spans="1:24" s="3" customFormat="1" ht="17.100000000000001" customHeight="1" x14ac:dyDescent="0.3">
      <c r="A49" s="23" t="s">
        <v>176</v>
      </c>
      <c r="B49" s="23" t="s">
        <v>177</v>
      </c>
      <c r="C49" s="24">
        <v>82175294</v>
      </c>
      <c r="D49" s="24"/>
      <c r="E49" s="24">
        <v>32624413</v>
      </c>
      <c r="F49" s="122">
        <f t="shared" si="8"/>
        <v>32624413</v>
      </c>
      <c r="G49" s="25">
        <v>0</v>
      </c>
      <c r="H49" s="25"/>
      <c r="I49" s="24">
        <f>-14229332-350000-952500</f>
        <v>-15531832</v>
      </c>
      <c r="J49" s="24">
        <f t="shared" si="9"/>
        <v>-15531832</v>
      </c>
      <c r="K49" s="25"/>
      <c r="L49" s="25"/>
      <c r="M49" s="24">
        <f t="shared" si="11"/>
        <v>17092581</v>
      </c>
      <c r="N49" s="24">
        <f t="shared" si="12"/>
        <v>17092581</v>
      </c>
      <c r="O49" s="24">
        <f t="shared" si="13"/>
        <v>0</v>
      </c>
      <c r="P49" s="25"/>
      <c r="Q49" s="24">
        <f>-9600360+1300000+2560000</f>
        <v>-5740360</v>
      </c>
      <c r="R49" s="24">
        <f>-9600360+1300000+2560000</f>
        <v>-5740360</v>
      </c>
      <c r="S49" s="25"/>
      <c r="T49" s="25"/>
      <c r="U49" s="24">
        <f t="shared" si="16"/>
        <v>11352221</v>
      </c>
      <c r="V49" s="24">
        <f>N49+R49</f>
        <v>11352221</v>
      </c>
      <c r="W49" s="24">
        <f t="shared" si="18"/>
        <v>0</v>
      </c>
      <c r="X49" s="25"/>
    </row>
    <row r="50" spans="1:24" s="3" customFormat="1" ht="17.100000000000001" customHeight="1" x14ac:dyDescent="0.3">
      <c r="A50" s="26" t="s">
        <v>178</v>
      </c>
      <c r="B50" s="26" t="s">
        <v>179</v>
      </c>
      <c r="C50" s="122">
        <f t="shared" ref="C50:H50" si="57">SUM(C51:C55)</f>
        <v>523575000</v>
      </c>
      <c r="D50" s="122">
        <f t="shared" si="57"/>
        <v>200848560</v>
      </c>
      <c r="E50" s="122">
        <f t="shared" si="57"/>
        <v>352049000</v>
      </c>
      <c r="F50" s="122">
        <f t="shared" si="8"/>
        <v>330840000</v>
      </c>
      <c r="G50" s="122">
        <f t="shared" ref="G50" si="58">SUM(G51:G55)</f>
        <v>21209000</v>
      </c>
      <c r="H50" s="122">
        <f t="shared" si="57"/>
        <v>0</v>
      </c>
      <c r="I50" s="122">
        <f t="shared" ref="I50" si="59">SUM(I51:I55)</f>
        <v>51054691</v>
      </c>
      <c r="J50" s="122">
        <f t="shared" si="9"/>
        <v>51054691</v>
      </c>
      <c r="K50" s="122">
        <f t="shared" ref="K50" si="60">SUM(K51:K55)</f>
        <v>0</v>
      </c>
      <c r="L50" s="122">
        <f t="shared" ref="L50" si="61">SUM(L51:L55)</f>
        <v>0</v>
      </c>
      <c r="M50" s="122">
        <f t="shared" si="11"/>
        <v>403103691</v>
      </c>
      <c r="N50" s="122">
        <f t="shared" si="12"/>
        <v>381894691</v>
      </c>
      <c r="O50" s="122">
        <f t="shared" si="13"/>
        <v>21209000</v>
      </c>
      <c r="P50" s="122">
        <f t="shared" ref="P50:Q50" si="62">SUM(P51:P55)</f>
        <v>0</v>
      </c>
      <c r="Q50" s="122">
        <f t="shared" si="62"/>
        <v>27680000</v>
      </c>
      <c r="R50" s="122">
        <f t="shared" ref="R50" si="63">SUM(R51:R55)</f>
        <v>27680000</v>
      </c>
      <c r="S50" s="122">
        <f t="shared" ref="S50:T50" si="64">SUM(S51:S55)</f>
        <v>0</v>
      </c>
      <c r="T50" s="122">
        <f t="shared" si="64"/>
        <v>0</v>
      </c>
      <c r="U50" s="122">
        <f t="shared" si="16"/>
        <v>430783691</v>
      </c>
      <c r="V50" s="122">
        <f t="shared" si="17"/>
        <v>409574691</v>
      </c>
      <c r="W50" s="122">
        <f t="shared" si="18"/>
        <v>21209000</v>
      </c>
      <c r="X50" s="122">
        <f t="shared" ref="X50" si="65">SUM(X51:X55)</f>
        <v>0</v>
      </c>
    </row>
    <row r="51" spans="1:24" s="3" customFormat="1" ht="17.100000000000001" customHeight="1" x14ac:dyDescent="0.3">
      <c r="A51" s="23" t="s">
        <v>3</v>
      </c>
      <c r="B51" s="23" t="s">
        <v>4</v>
      </c>
      <c r="C51" s="123">
        <v>2244000</v>
      </c>
      <c r="D51" s="123">
        <v>360000</v>
      </c>
      <c r="E51" s="123">
        <v>1069000</v>
      </c>
      <c r="F51" s="122">
        <f t="shared" si="8"/>
        <v>569000</v>
      </c>
      <c r="G51" s="135">
        <v>500000</v>
      </c>
      <c r="H51" s="135"/>
      <c r="I51" s="123"/>
      <c r="J51" s="123">
        <f t="shared" si="9"/>
        <v>0</v>
      </c>
      <c r="K51" s="135"/>
      <c r="L51" s="135"/>
      <c r="M51" s="123">
        <f t="shared" si="11"/>
        <v>1069000</v>
      </c>
      <c r="N51" s="123">
        <f t="shared" si="12"/>
        <v>569000</v>
      </c>
      <c r="O51" s="123">
        <f t="shared" si="13"/>
        <v>500000</v>
      </c>
      <c r="P51" s="135"/>
      <c r="Q51" s="123"/>
      <c r="R51" s="123"/>
      <c r="S51" s="135"/>
      <c r="T51" s="135"/>
      <c r="U51" s="123">
        <f t="shared" si="16"/>
        <v>1069000</v>
      </c>
      <c r="V51" s="123">
        <f t="shared" si="17"/>
        <v>569000</v>
      </c>
      <c r="W51" s="123">
        <f t="shared" si="18"/>
        <v>500000</v>
      </c>
      <c r="X51" s="135"/>
    </row>
    <row r="52" spans="1:24" s="3" customFormat="1" ht="17.100000000000001" customHeight="1" x14ac:dyDescent="0.3">
      <c r="A52" s="23" t="s">
        <v>180</v>
      </c>
      <c r="B52" s="23" t="s">
        <v>181</v>
      </c>
      <c r="C52" s="24">
        <v>403432000</v>
      </c>
      <c r="D52" s="24">
        <v>158563164</v>
      </c>
      <c r="E52" s="24">
        <v>295077000</v>
      </c>
      <c r="F52" s="122">
        <f t="shared" si="8"/>
        <v>285077000</v>
      </c>
      <c r="G52" s="25">
        <v>10000000</v>
      </c>
      <c r="H52" s="25"/>
      <c r="I52" s="24">
        <f>9969022+278+5319700-2313000+6446000-10000000+11706000-6236000</f>
        <v>14892000</v>
      </c>
      <c r="J52" s="24">
        <f t="shared" si="9"/>
        <v>14892000</v>
      </c>
      <c r="K52" s="25"/>
      <c r="L52" s="25"/>
      <c r="M52" s="24">
        <f t="shared" si="11"/>
        <v>309969000</v>
      </c>
      <c r="N52" s="24">
        <f t="shared" si="12"/>
        <v>299969000</v>
      </c>
      <c r="O52" s="24">
        <f t="shared" si="13"/>
        <v>10000000</v>
      </c>
      <c r="P52" s="25"/>
      <c r="Q52" s="24">
        <f>3500000+10000000+1350000</f>
        <v>14850000</v>
      </c>
      <c r="R52" s="24">
        <f>3500000+10000000+1350000</f>
        <v>14850000</v>
      </c>
      <c r="S52" s="25"/>
      <c r="T52" s="25"/>
      <c r="U52" s="24">
        <f t="shared" si="16"/>
        <v>324819000</v>
      </c>
      <c r="V52" s="24">
        <f t="shared" si="17"/>
        <v>314819000</v>
      </c>
      <c r="W52" s="24">
        <f t="shared" si="18"/>
        <v>10000000</v>
      </c>
      <c r="X52" s="25"/>
    </row>
    <row r="53" spans="1:24" s="3" customFormat="1" ht="17.100000000000001" customHeight="1" x14ac:dyDescent="0.3">
      <c r="A53" s="23" t="s">
        <v>430</v>
      </c>
      <c r="B53" s="23" t="s">
        <v>431</v>
      </c>
      <c r="C53" s="24">
        <v>2553000</v>
      </c>
      <c r="D53" s="24">
        <v>251968</v>
      </c>
      <c r="E53" s="24">
        <v>1946000</v>
      </c>
      <c r="F53" s="122">
        <f t="shared" si="8"/>
        <v>946000</v>
      </c>
      <c r="G53" s="25">
        <v>1000000</v>
      </c>
      <c r="H53" s="25"/>
      <c r="I53" s="24"/>
      <c r="J53" s="24">
        <f t="shared" si="9"/>
        <v>0</v>
      </c>
      <c r="K53" s="25"/>
      <c r="L53" s="25"/>
      <c r="M53" s="24">
        <f t="shared" si="11"/>
        <v>1946000</v>
      </c>
      <c r="N53" s="24">
        <f t="shared" si="12"/>
        <v>946000</v>
      </c>
      <c r="O53" s="24">
        <f t="shared" si="13"/>
        <v>1000000</v>
      </c>
      <c r="P53" s="25"/>
      <c r="Q53" s="24"/>
      <c r="R53" s="24"/>
      <c r="S53" s="25"/>
      <c r="T53" s="25"/>
      <c r="U53" s="24">
        <f t="shared" si="16"/>
        <v>1946000</v>
      </c>
      <c r="V53" s="24">
        <f t="shared" si="17"/>
        <v>946000</v>
      </c>
      <c r="W53" s="24">
        <f t="shared" si="18"/>
        <v>1000000</v>
      </c>
      <c r="X53" s="25"/>
    </row>
    <row r="54" spans="1:24" s="4" customFormat="1" ht="17.100000000000001" customHeight="1" x14ac:dyDescent="0.3">
      <c r="A54" s="23" t="s">
        <v>182</v>
      </c>
      <c r="B54" s="23" t="s">
        <v>183</v>
      </c>
      <c r="C54" s="24">
        <v>48019000</v>
      </c>
      <c r="D54" s="24">
        <v>29655485</v>
      </c>
      <c r="E54" s="24">
        <v>19350000</v>
      </c>
      <c r="F54" s="122">
        <f t="shared" si="8"/>
        <v>14150000</v>
      </c>
      <c r="G54" s="25">
        <v>5200000</v>
      </c>
      <c r="H54" s="25"/>
      <c r="I54" s="24">
        <f>19352484+466984+532+1428000+750000+1</f>
        <v>21998001</v>
      </c>
      <c r="J54" s="24">
        <f>I54</f>
        <v>21998001</v>
      </c>
      <c r="K54" s="25"/>
      <c r="L54" s="25"/>
      <c r="M54" s="24">
        <f t="shared" si="11"/>
        <v>41348001</v>
      </c>
      <c r="N54" s="24">
        <f t="shared" si="12"/>
        <v>36148001</v>
      </c>
      <c r="O54" s="24">
        <f t="shared" si="13"/>
        <v>5200000</v>
      </c>
      <c r="P54" s="25"/>
      <c r="Q54" s="24">
        <f>48000+610000+2000000+800000+3950000</f>
        <v>7408000</v>
      </c>
      <c r="R54" s="24">
        <f>48000+610000+2000000+800000+3950000</f>
        <v>7408000</v>
      </c>
      <c r="S54" s="25"/>
      <c r="T54" s="25"/>
      <c r="U54" s="24">
        <f t="shared" si="16"/>
        <v>48756001</v>
      </c>
      <c r="V54" s="24">
        <f t="shared" si="17"/>
        <v>43556001</v>
      </c>
      <c r="W54" s="24">
        <f t="shared" si="18"/>
        <v>5200000</v>
      </c>
      <c r="X54" s="25"/>
    </row>
    <row r="55" spans="1:24" s="3" customFormat="1" ht="17.100000000000001" customHeight="1" x14ac:dyDescent="0.3">
      <c r="A55" s="23" t="s">
        <v>184</v>
      </c>
      <c r="B55" s="23" t="s">
        <v>185</v>
      </c>
      <c r="C55" s="24">
        <v>67327000</v>
      </c>
      <c r="D55" s="24">
        <v>12017943</v>
      </c>
      <c r="E55" s="24">
        <v>34607000</v>
      </c>
      <c r="F55" s="122">
        <f t="shared" si="8"/>
        <v>30098000</v>
      </c>
      <c r="G55" s="25">
        <v>4509000</v>
      </c>
      <c r="H55" s="25"/>
      <c r="I55" s="24">
        <f>7916810+126000+190+2313000+2126000+3161000+202500-1684000+7920000-5225171-2691639</f>
        <v>14164690</v>
      </c>
      <c r="J55" s="24">
        <f t="shared" si="9"/>
        <v>14164690</v>
      </c>
      <c r="K55" s="25"/>
      <c r="L55" s="25"/>
      <c r="M55" s="24">
        <f t="shared" si="11"/>
        <v>48771690</v>
      </c>
      <c r="N55" s="24">
        <f t="shared" si="12"/>
        <v>44262690</v>
      </c>
      <c r="O55" s="24">
        <f t="shared" si="13"/>
        <v>4509000</v>
      </c>
      <c r="P55" s="25"/>
      <c r="Q55" s="24">
        <f>13000+945000+2700000+164000+200000+1050000+350000</f>
        <v>5422000</v>
      </c>
      <c r="R55" s="24">
        <f>13000+945000+2700000+164000+200000+1050000+350000</f>
        <v>5422000</v>
      </c>
      <c r="S55" s="25"/>
      <c r="T55" s="25"/>
      <c r="U55" s="24">
        <f t="shared" si="16"/>
        <v>54193690</v>
      </c>
      <c r="V55" s="24">
        <f t="shared" si="17"/>
        <v>49684690</v>
      </c>
      <c r="W55" s="24">
        <f t="shared" si="18"/>
        <v>4509000</v>
      </c>
      <c r="X55" s="25"/>
    </row>
    <row r="56" spans="1:24" s="3" customFormat="1" ht="17.100000000000001" customHeight="1" x14ac:dyDescent="0.3">
      <c r="A56" s="26" t="s">
        <v>186</v>
      </c>
      <c r="B56" s="26" t="s">
        <v>187</v>
      </c>
      <c r="C56" s="122">
        <f>SUM(C57:C58)</f>
        <v>39903000</v>
      </c>
      <c r="D56" s="122">
        <f>SUM(D57:D58)</f>
        <v>37265748</v>
      </c>
      <c r="E56" s="122">
        <f>SUM(E57:E58)</f>
        <v>66001000</v>
      </c>
      <c r="F56" s="122">
        <f t="shared" si="8"/>
        <v>66001000</v>
      </c>
      <c r="G56" s="122">
        <f>SUM(G57:G58)</f>
        <v>0</v>
      </c>
      <c r="H56" s="134">
        <v>0</v>
      </c>
      <c r="I56" s="122">
        <f>SUM(I57:I58)</f>
        <v>5001000</v>
      </c>
      <c r="J56" s="122">
        <f t="shared" si="9"/>
        <v>5001000</v>
      </c>
      <c r="K56" s="122">
        <f>SUM(K57:K58)</f>
        <v>0</v>
      </c>
      <c r="L56" s="134">
        <v>0</v>
      </c>
      <c r="M56" s="122">
        <f t="shared" si="11"/>
        <v>71002000</v>
      </c>
      <c r="N56" s="122">
        <f t="shared" si="12"/>
        <v>71002000</v>
      </c>
      <c r="O56" s="122">
        <f t="shared" si="13"/>
        <v>0</v>
      </c>
      <c r="P56" s="134">
        <v>0</v>
      </c>
      <c r="Q56" s="122">
        <f>SUM(Q57:Q58)</f>
        <v>1300000</v>
      </c>
      <c r="R56" s="122">
        <f>SUM(R57:R58)</f>
        <v>1300000</v>
      </c>
      <c r="S56" s="122">
        <f>SUM(S57:S58)</f>
        <v>0</v>
      </c>
      <c r="T56" s="134">
        <v>0</v>
      </c>
      <c r="U56" s="122">
        <f t="shared" si="16"/>
        <v>72302000</v>
      </c>
      <c r="V56" s="122">
        <f t="shared" si="17"/>
        <v>72302000</v>
      </c>
      <c r="W56" s="122">
        <f t="shared" si="18"/>
        <v>0</v>
      </c>
      <c r="X56" s="134">
        <v>0</v>
      </c>
    </row>
    <row r="57" spans="1:24" s="3" customFormat="1" ht="17.100000000000001" customHeight="1" x14ac:dyDescent="0.3">
      <c r="A57" s="23" t="s">
        <v>188</v>
      </c>
      <c r="B57" s="23" t="s">
        <v>189</v>
      </c>
      <c r="C57" s="24">
        <v>31420000</v>
      </c>
      <c r="D57" s="24">
        <v>29413266</v>
      </c>
      <c r="E57" s="24">
        <v>51969000</v>
      </c>
      <c r="F57" s="122">
        <f t="shared" si="8"/>
        <v>51969000</v>
      </c>
      <c r="G57" s="25">
        <v>0</v>
      </c>
      <c r="H57" s="25"/>
      <c r="I57" s="24">
        <v>3938000</v>
      </c>
      <c r="J57" s="24">
        <f t="shared" si="9"/>
        <v>3938000</v>
      </c>
      <c r="K57" s="25"/>
      <c r="L57" s="25"/>
      <c r="M57" s="24">
        <f t="shared" si="11"/>
        <v>55907000</v>
      </c>
      <c r="N57" s="24">
        <f t="shared" si="12"/>
        <v>55907000</v>
      </c>
      <c r="O57" s="24">
        <f t="shared" si="13"/>
        <v>0</v>
      </c>
      <c r="P57" s="25"/>
      <c r="Q57" s="24">
        <f>750000+240000</f>
        <v>990000</v>
      </c>
      <c r="R57" s="24">
        <f>750000+240000</f>
        <v>990000</v>
      </c>
      <c r="S57" s="25"/>
      <c r="T57" s="25"/>
      <c r="U57" s="24">
        <f t="shared" si="16"/>
        <v>56897000</v>
      </c>
      <c r="V57" s="24">
        <f t="shared" si="17"/>
        <v>56897000</v>
      </c>
      <c r="W57" s="24">
        <f t="shared" si="18"/>
        <v>0</v>
      </c>
      <c r="X57" s="25"/>
    </row>
    <row r="58" spans="1:24" s="3" customFormat="1" ht="17.100000000000001" customHeight="1" x14ac:dyDescent="0.3">
      <c r="A58" s="23" t="s">
        <v>190</v>
      </c>
      <c r="B58" s="23" t="s">
        <v>191</v>
      </c>
      <c r="C58" s="24">
        <v>8483000</v>
      </c>
      <c r="D58" s="24">
        <v>7852482</v>
      </c>
      <c r="E58" s="24">
        <v>14032000</v>
      </c>
      <c r="F58" s="122">
        <f t="shared" si="8"/>
        <v>14032000</v>
      </c>
      <c r="G58" s="25">
        <v>0</v>
      </c>
      <c r="H58" s="25"/>
      <c r="I58" s="24">
        <v>1063000</v>
      </c>
      <c r="J58" s="24">
        <f t="shared" si="9"/>
        <v>1063000</v>
      </c>
      <c r="K58" s="25"/>
      <c r="L58" s="25"/>
      <c r="M58" s="24">
        <f t="shared" si="11"/>
        <v>15095000</v>
      </c>
      <c r="N58" s="24">
        <f t="shared" si="12"/>
        <v>15095000</v>
      </c>
      <c r="O58" s="24">
        <f t="shared" si="13"/>
        <v>0</v>
      </c>
      <c r="P58" s="25"/>
      <c r="Q58" s="24">
        <f>250000+60000</f>
        <v>310000</v>
      </c>
      <c r="R58" s="24">
        <f>250000+60000</f>
        <v>310000</v>
      </c>
      <c r="S58" s="25"/>
      <c r="T58" s="25"/>
      <c r="U58" s="24">
        <f t="shared" si="16"/>
        <v>15405000</v>
      </c>
      <c r="V58" s="24">
        <f t="shared" si="17"/>
        <v>15405000</v>
      </c>
      <c r="W58" s="24">
        <f t="shared" si="18"/>
        <v>0</v>
      </c>
      <c r="X58" s="25"/>
    </row>
    <row r="59" spans="1:24" s="3" customFormat="1" ht="17.100000000000001" customHeight="1" x14ac:dyDescent="0.3">
      <c r="A59" s="26" t="s">
        <v>192</v>
      </c>
      <c r="B59" s="26" t="s">
        <v>193</v>
      </c>
      <c r="C59" s="122">
        <f>C60</f>
        <v>59134000</v>
      </c>
      <c r="D59" s="122">
        <f>D60</f>
        <v>59134000</v>
      </c>
      <c r="E59" s="122">
        <f>SUM(E60)</f>
        <v>0</v>
      </c>
      <c r="F59" s="122">
        <f t="shared" si="8"/>
        <v>0</v>
      </c>
      <c r="G59" s="134">
        <v>0</v>
      </c>
      <c r="H59" s="134">
        <v>0</v>
      </c>
      <c r="I59" s="122">
        <f>SUM(I60)</f>
        <v>0</v>
      </c>
      <c r="J59" s="122">
        <f t="shared" si="9"/>
        <v>0</v>
      </c>
      <c r="K59" s="134">
        <v>0</v>
      </c>
      <c r="L59" s="134">
        <v>0</v>
      </c>
      <c r="M59" s="122">
        <f t="shared" si="11"/>
        <v>0</v>
      </c>
      <c r="N59" s="122">
        <f t="shared" si="12"/>
        <v>0</v>
      </c>
      <c r="O59" s="122">
        <f t="shared" si="13"/>
        <v>0</v>
      </c>
      <c r="P59" s="134">
        <v>0</v>
      </c>
      <c r="Q59" s="122">
        <f>SUM(Q60)</f>
        <v>0</v>
      </c>
      <c r="R59" s="122">
        <f>SUM(R60)</f>
        <v>0</v>
      </c>
      <c r="S59" s="134">
        <v>0</v>
      </c>
      <c r="T59" s="134">
        <v>0</v>
      </c>
      <c r="U59" s="122">
        <f t="shared" si="16"/>
        <v>0</v>
      </c>
      <c r="V59" s="122">
        <f t="shared" si="17"/>
        <v>0</v>
      </c>
      <c r="W59" s="122">
        <f t="shared" si="18"/>
        <v>0</v>
      </c>
      <c r="X59" s="134">
        <v>0</v>
      </c>
    </row>
    <row r="60" spans="1:24" s="3" customFormat="1" ht="17.100000000000001" customHeight="1" x14ac:dyDescent="0.3">
      <c r="A60" s="23" t="s">
        <v>489</v>
      </c>
      <c r="B60" s="23" t="s">
        <v>490</v>
      </c>
      <c r="C60" s="24">
        <f>58654000+480000</f>
        <v>59134000</v>
      </c>
      <c r="D60" s="24">
        <f>58654000+480000</f>
        <v>59134000</v>
      </c>
      <c r="E60" s="24">
        <v>0</v>
      </c>
      <c r="F60" s="122">
        <f t="shared" si="8"/>
        <v>0</v>
      </c>
      <c r="G60" s="25">
        <v>0</v>
      </c>
      <c r="H60" s="25"/>
      <c r="I60" s="24">
        <v>0</v>
      </c>
      <c r="J60" s="24">
        <f t="shared" si="9"/>
        <v>0</v>
      </c>
      <c r="K60" s="25"/>
      <c r="L60" s="25"/>
      <c r="M60" s="24">
        <f t="shared" si="11"/>
        <v>0</v>
      </c>
      <c r="N60" s="24">
        <f t="shared" si="12"/>
        <v>0</v>
      </c>
      <c r="O60" s="24">
        <f t="shared" si="13"/>
        <v>0</v>
      </c>
      <c r="P60" s="25"/>
      <c r="Q60" s="24">
        <v>0</v>
      </c>
      <c r="R60" s="24">
        <v>0</v>
      </c>
      <c r="S60" s="25"/>
      <c r="T60" s="25"/>
      <c r="U60" s="24">
        <f t="shared" si="16"/>
        <v>0</v>
      </c>
      <c r="V60" s="24">
        <f t="shared" si="17"/>
        <v>0</v>
      </c>
      <c r="W60" s="24">
        <f t="shared" si="18"/>
        <v>0</v>
      </c>
      <c r="X60" s="25"/>
    </row>
    <row r="61" spans="1:24" s="5" customFormat="1" ht="17.100000000000001" customHeight="1" x14ac:dyDescent="0.3">
      <c r="A61" s="26" t="s">
        <v>194</v>
      </c>
      <c r="B61" s="26" t="s">
        <v>195</v>
      </c>
      <c r="C61" s="122">
        <f t="shared" ref="C61:H61" si="66">C8+C20+C21+C41+C44+C50+C56+C59</f>
        <v>1330926144</v>
      </c>
      <c r="D61" s="122">
        <f t="shared" si="66"/>
        <v>744513018</v>
      </c>
      <c r="E61" s="122">
        <f t="shared" si="66"/>
        <v>1078218413</v>
      </c>
      <c r="F61" s="122">
        <f t="shared" si="8"/>
        <v>919399663</v>
      </c>
      <c r="G61" s="122">
        <f t="shared" ref="G61" si="67">G8+G20+G21+G41+G44+G50+G56+G59</f>
        <v>158818750</v>
      </c>
      <c r="H61" s="134">
        <f t="shared" si="66"/>
        <v>0</v>
      </c>
      <c r="I61" s="122">
        <f t="shared" ref="I61" si="68">I8+I20+I21+I41+I44+I50+I56+I59</f>
        <v>61603308</v>
      </c>
      <c r="J61" s="122">
        <f t="shared" ref="J61:L61" si="69">J8+J20+J21+J41+J44+J50+J56+J59</f>
        <v>60603308</v>
      </c>
      <c r="K61" s="122">
        <f t="shared" si="69"/>
        <v>1000000</v>
      </c>
      <c r="L61" s="134">
        <f t="shared" si="69"/>
        <v>0</v>
      </c>
      <c r="M61" s="122">
        <f t="shared" si="11"/>
        <v>1139821721</v>
      </c>
      <c r="N61" s="122">
        <f t="shared" si="12"/>
        <v>980002971</v>
      </c>
      <c r="O61" s="122">
        <f t="shared" si="13"/>
        <v>159818750</v>
      </c>
      <c r="P61" s="134">
        <f t="shared" ref="P61:T61" si="70">P8+P20+P21+P41+P44+P50+P56+P59</f>
        <v>0</v>
      </c>
      <c r="Q61" s="122">
        <f t="shared" si="70"/>
        <v>91150820</v>
      </c>
      <c r="R61" s="122">
        <f t="shared" ref="R61" si="71">R8+R20+R21+R41+R44+R50+R56+R59</f>
        <v>65744320</v>
      </c>
      <c r="S61" s="122">
        <f t="shared" si="70"/>
        <v>25406500</v>
      </c>
      <c r="T61" s="134">
        <f t="shared" si="70"/>
        <v>0</v>
      </c>
      <c r="U61" s="122">
        <f t="shared" si="16"/>
        <v>1230972541</v>
      </c>
      <c r="V61" s="122">
        <f t="shared" si="17"/>
        <v>1045747291</v>
      </c>
      <c r="W61" s="122">
        <f t="shared" si="18"/>
        <v>185225250</v>
      </c>
      <c r="X61" s="134">
        <f t="shared" ref="X61" si="72">X8+X20+X21+X41+X44+X50+X56+X59</f>
        <v>0</v>
      </c>
    </row>
    <row r="62" spans="1:24" s="4" customFormat="1" ht="17.100000000000001" customHeight="1" x14ac:dyDescent="0.3">
      <c r="A62" s="26" t="s">
        <v>196</v>
      </c>
      <c r="B62" s="26" t="s">
        <v>197</v>
      </c>
      <c r="C62" s="122">
        <f t="shared" ref="C62:H62" si="73">SUM(C63:C65)</f>
        <v>166702806</v>
      </c>
      <c r="D62" s="122">
        <f t="shared" si="73"/>
        <v>151898308</v>
      </c>
      <c r="E62" s="122">
        <f t="shared" si="73"/>
        <v>192537598</v>
      </c>
      <c r="F62" s="122">
        <f t="shared" si="8"/>
        <v>192537598</v>
      </c>
      <c r="G62" s="122">
        <f t="shared" ref="G62" si="74">SUM(G63:G65)</f>
        <v>0</v>
      </c>
      <c r="H62" s="134">
        <f t="shared" si="73"/>
        <v>0</v>
      </c>
      <c r="I62" s="122">
        <f t="shared" ref="I62" si="75">SUM(I63:I65)</f>
        <v>-6140128</v>
      </c>
      <c r="J62" s="122">
        <f t="shared" si="9"/>
        <v>-6140128</v>
      </c>
      <c r="K62" s="122">
        <f t="shared" ref="K62" si="76">SUM(K63:K65)</f>
        <v>0</v>
      </c>
      <c r="L62" s="134">
        <f t="shared" ref="L62" si="77">SUM(L63:L65)</f>
        <v>0</v>
      </c>
      <c r="M62" s="122">
        <f t="shared" si="11"/>
        <v>186397470</v>
      </c>
      <c r="N62" s="122">
        <f t="shared" si="12"/>
        <v>186397470</v>
      </c>
      <c r="O62" s="122">
        <f t="shared" si="13"/>
        <v>0</v>
      </c>
      <c r="P62" s="134">
        <f t="shared" ref="P62:Q62" si="78">SUM(P63:P65)</f>
        <v>0</v>
      </c>
      <c r="Q62" s="122">
        <f t="shared" si="78"/>
        <v>9845000</v>
      </c>
      <c r="R62" s="122">
        <f t="shared" ref="R62" si="79">SUM(R63:R65)</f>
        <v>9845000</v>
      </c>
      <c r="S62" s="122">
        <f t="shared" ref="S62:T62" si="80">SUM(S63:S65)</f>
        <v>0</v>
      </c>
      <c r="T62" s="134">
        <f t="shared" si="80"/>
        <v>0</v>
      </c>
      <c r="U62" s="122">
        <f t="shared" si="16"/>
        <v>196242470</v>
      </c>
      <c r="V62" s="122">
        <f t="shared" si="17"/>
        <v>196242470</v>
      </c>
      <c r="W62" s="122">
        <f t="shared" si="18"/>
        <v>0</v>
      </c>
      <c r="X62" s="134">
        <f t="shared" ref="X62" si="81">SUM(X63:X65)</f>
        <v>0</v>
      </c>
    </row>
    <row r="63" spans="1:24" s="4" customFormat="1" ht="17.100000000000001" customHeight="1" x14ac:dyDescent="0.3">
      <c r="A63" s="23" t="s">
        <v>198</v>
      </c>
      <c r="B63" s="23" t="s">
        <v>199</v>
      </c>
      <c r="C63" s="24">
        <v>0</v>
      </c>
      <c r="D63" s="24">
        <v>0</v>
      </c>
      <c r="E63" s="24">
        <v>0</v>
      </c>
      <c r="F63" s="122">
        <f t="shared" si="8"/>
        <v>0</v>
      </c>
      <c r="G63" s="25">
        <v>0</v>
      </c>
      <c r="H63" s="25"/>
      <c r="I63" s="24"/>
      <c r="J63" s="24">
        <f t="shared" si="9"/>
        <v>0</v>
      </c>
      <c r="K63" s="25"/>
      <c r="L63" s="25"/>
      <c r="M63" s="24">
        <f t="shared" si="11"/>
        <v>0</v>
      </c>
      <c r="N63" s="24">
        <f t="shared" si="12"/>
        <v>0</v>
      </c>
      <c r="O63" s="24">
        <f t="shared" si="13"/>
        <v>0</v>
      </c>
      <c r="P63" s="25"/>
      <c r="Q63" s="24"/>
      <c r="R63" s="24"/>
      <c r="S63" s="25"/>
      <c r="T63" s="25"/>
      <c r="U63" s="24">
        <f t="shared" si="16"/>
        <v>0</v>
      </c>
      <c r="V63" s="24">
        <f t="shared" si="17"/>
        <v>0</v>
      </c>
      <c r="W63" s="24">
        <f t="shared" si="18"/>
        <v>0</v>
      </c>
      <c r="X63" s="25"/>
    </row>
    <row r="64" spans="1:24" s="4" customFormat="1" ht="17.100000000000001" customHeight="1" x14ac:dyDescent="0.3">
      <c r="A64" s="23" t="s">
        <v>200</v>
      </c>
      <c r="B64" s="23" t="s">
        <v>201</v>
      </c>
      <c r="C64" s="24">
        <v>9399806</v>
      </c>
      <c r="D64" s="24">
        <v>9007646</v>
      </c>
      <c r="E64" s="24">
        <v>9328598</v>
      </c>
      <c r="F64" s="122">
        <f t="shared" si="8"/>
        <v>9328598</v>
      </c>
      <c r="G64" s="25">
        <v>0</v>
      </c>
      <c r="H64" s="25"/>
      <c r="I64" s="24">
        <v>178836</v>
      </c>
      <c r="J64" s="24">
        <f t="shared" si="9"/>
        <v>178836</v>
      </c>
      <c r="K64" s="25"/>
      <c r="L64" s="25"/>
      <c r="M64" s="24">
        <f t="shared" si="11"/>
        <v>9507434</v>
      </c>
      <c r="N64" s="24">
        <f t="shared" si="12"/>
        <v>9507434</v>
      </c>
      <c r="O64" s="24">
        <f t="shared" si="13"/>
        <v>0</v>
      </c>
      <c r="P64" s="25"/>
      <c r="Q64" s="24"/>
      <c r="R64" s="24"/>
      <c r="S64" s="25"/>
      <c r="T64" s="25"/>
      <c r="U64" s="24">
        <f t="shared" si="16"/>
        <v>9507434</v>
      </c>
      <c r="V64" s="24">
        <f t="shared" si="17"/>
        <v>9507434</v>
      </c>
      <c r="W64" s="24">
        <f t="shared" si="18"/>
        <v>0</v>
      </c>
      <c r="X64" s="25"/>
    </row>
    <row r="65" spans="1:24" s="5" customFormat="1" ht="17.100000000000001" customHeight="1" x14ac:dyDescent="0.3">
      <c r="A65" s="23" t="s">
        <v>202</v>
      </c>
      <c r="B65" s="23" t="s">
        <v>203</v>
      </c>
      <c r="C65" s="24">
        <v>157303000</v>
      </c>
      <c r="D65" s="24">
        <v>142890662</v>
      </c>
      <c r="E65" s="24">
        <v>183209000</v>
      </c>
      <c r="F65" s="122">
        <f t="shared" si="8"/>
        <v>183209000</v>
      </c>
      <c r="G65" s="25">
        <v>0</v>
      </c>
      <c r="H65" s="25"/>
      <c r="I65" s="24">
        <v>-6318964</v>
      </c>
      <c r="J65" s="24">
        <f t="shared" si="9"/>
        <v>-6318964</v>
      </c>
      <c r="K65" s="25"/>
      <c r="L65" s="25"/>
      <c r="M65" s="24">
        <f t="shared" si="11"/>
        <v>176890036</v>
      </c>
      <c r="N65" s="24">
        <f t="shared" si="12"/>
        <v>176890036</v>
      </c>
      <c r="O65" s="24">
        <f t="shared" si="13"/>
        <v>0</v>
      </c>
      <c r="P65" s="25"/>
      <c r="Q65" s="24">
        <f>3845000+3000000+3000000</f>
        <v>9845000</v>
      </c>
      <c r="R65" s="24">
        <f>3845000+3000000+3000000</f>
        <v>9845000</v>
      </c>
      <c r="S65" s="25"/>
      <c r="T65" s="25"/>
      <c r="U65" s="24">
        <f t="shared" si="16"/>
        <v>186735036</v>
      </c>
      <c r="V65" s="24">
        <f t="shared" si="17"/>
        <v>186735036</v>
      </c>
      <c r="W65" s="24">
        <f t="shared" si="18"/>
        <v>0</v>
      </c>
      <c r="X65" s="25"/>
    </row>
    <row r="66" spans="1:24" ht="33" customHeight="1" x14ac:dyDescent="0.25">
      <c r="A66" s="306" t="s">
        <v>397</v>
      </c>
      <c r="B66" s="310"/>
      <c r="C66" s="125">
        <f t="shared" ref="C66:H66" si="82">C61+C62</f>
        <v>1497628950</v>
      </c>
      <c r="D66" s="125">
        <f t="shared" si="82"/>
        <v>896411326</v>
      </c>
      <c r="E66" s="125">
        <f t="shared" si="82"/>
        <v>1270756011</v>
      </c>
      <c r="F66" s="125">
        <f>+E66-G66</f>
        <v>1111937261</v>
      </c>
      <c r="G66" s="139">
        <f t="shared" si="82"/>
        <v>158818750</v>
      </c>
      <c r="H66" s="139">
        <f t="shared" si="82"/>
        <v>0</v>
      </c>
      <c r="I66" s="125">
        <f t="shared" ref="I66" si="83">I61+I62</f>
        <v>55463180</v>
      </c>
      <c r="J66" s="139">
        <f t="shared" ref="J66:L66" si="84">J61+J62</f>
        <v>54463180</v>
      </c>
      <c r="K66" s="139">
        <f t="shared" si="84"/>
        <v>1000000</v>
      </c>
      <c r="L66" s="139">
        <f t="shared" si="84"/>
        <v>0</v>
      </c>
      <c r="M66" s="125">
        <f t="shared" si="11"/>
        <v>1326219191</v>
      </c>
      <c r="N66" s="125">
        <f t="shared" si="12"/>
        <v>1166400441</v>
      </c>
      <c r="O66" s="125">
        <f t="shared" si="13"/>
        <v>159818750</v>
      </c>
      <c r="P66" s="139">
        <f t="shared" ref="P66:T66" si="85">P61+P62</f>
        <v>0</v>
      </c>
      <c r="Q66" s="125">
        <f>Q61+Q62</f>
        <v>100995820</v>
      </c>
      <c r="R66" s="125">
        <f t="shared" ref="R66" si="86">R61+R62</f>
        <v>75589320</v>
      </c>
      <c r="S66" s="139">
        <f t="shared" si="85"/>
        <v>25406500</v>
      </c>
      <c r="T66" s="139">
        <f t="shared" si="85"/>
        <v>0</v>
      </c>
      <c r="U66" s="125">
        <f t="shared" si="16"/>
        <v>1427215011</v>
      </c>
      <c r="V66" s="125">
        <f t="shared" si="17"/>
        <v>1241989761</v>
      </c>
      <c r="W66" s="125">
        <f t="shared" si="18"/>
        <v>185225250</v>
      </c>
      <c r="X66" s="139">
        <f t="shared" ref="X66" si="87">X61+X62</f>
        <v>0</v>
      </c>
    </row>
    <row r="67" spans="1:24" ht="14.4" x14ac:dyDescent="0.3">
      <c r="A67" s="222"/>
      <c r="B67" s="222"/>
    </row>
  </sheetData>
  <mergeCells count="25">
    <mergeCell ref="S5:T5"/>
    <mergeCell ref="W5:X5"/>
    <mergeCell ref="Q6:Q7"/>
    <mergeCell ref="R6:T6"/>
    <mergeCell ref="U6:U7"/>
    <mergeCell ref="V6:X6"/>
    <mergeCell ref="I6:I7"/>
    <mergeCell ref="O5:P5"/>
    <mergeCell ref="M6:M7"/>
    <mergeCell ref="N6:P6"/>
    <mergeCell ref="K5:L5"/>
    <mergeCell ref="J6:L6"/>
    <mergeCell ref="A66:B66"/>
    <mergeCell ref="A6:A7"/>
    <mergeCell ref="A2:H2"/>
    <mergeCell ref="A3:H3"/>
    <mergeCell ref="F6:H6"/>
    <mergeCell ref="G5:H5"/>
    <mergeCell ref="C6:C7"/>
    <mergeCell ref="D6:D7"/>
    <mergeCell ref="E6:E7"/>
    <mergeCell ref="B6:B7"/>
    <mergeCell ref="A5:B5"/>
    <mergeCell ref="D5:E5"/>
    <mergeCell ref="A4:B4"/>
  </mergeCells>
  <phoneticPr fontId="49" type="noConversion"/>
  <pageMargins left="0.74803149606299213" right="0.74803149606299213" top="0.98425196850393704" bottom="0.98425196850393704" header="0.51181102362204722" footer="0.51181102362204722"/>
  <pageSetup paperSize="8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53"/>
  <sheetViews>
    <sheetView zoomScaleNormal="100" workbookViewId="0">
      <selection activeCell="A5" sqref="A5:B5"/>
    </sheetView>
  </sheetViews>
  <sheetFormatPr defaultColWidth="8.5546875" defaultRowHeight="13.2" x14ac:dyDescent="0.25"/>
  <cols>
    <col min="1" max="1" width="9.5546875" style="213" customWidth="1"/>
    <col min="2" max="2" width="50.5546875" style="213" customWidth="1"/>
    <col min="3" max="4" width="11.5546875" style="213" hidden="1" customWidth="1"/>
    <col min="5" max="18" width="11.5546875" style="213" customWidth="1"/>
    <col min="19" max="16384" width="8.5546875" style="214"/>
  </cols>
  <sheetData>
    <row r="2" spans="1:18" ht="18" x14ac:dyDescent="0.35">
      <c r="A2" s="317" t="s">
        <v>353</v>
      </c>
      <c r="B2" s="318"/>
      <c r="C2" s="318"/>
      <c r="D2" s="318"/>
      <c r="E2" s="318"/>
      <c r="F2" s="318"/>
      <c r="G2" s="318"/>
      <c r="H2" s="318"/>
      <c r="I2" s="214"/>
      <c r="J2" s="214"/>
      <c r="K2" s="214"/>
      <c r="L2" s="214"/>
      <c r="M2" s="214"/>
      <c r="N2" s="214"/>
      <c r="O2" s="214"/>
      <c r="P2" s="214"/>
      <c r="Q2" s="214"/>
      <c r="R2" s="214"/>
    </row>
    <row r="3" spans="1:18" s="217" customFormat="1" ht="17.100000000000001" customHeight="1" x14ac:dyDescent="0.25">
      <c r="A3" s="314">
        <v>2022</v>
      </c>
      <c r="B3" s="314"/>
      <c r="C3" s="314"/>
      <c r="D3" s="314"/>
      <c r="E3" s="314"/>
      <c r="F3" s="314"/>
      <c r="G3" s="314"/>
      <c r="H3" s="314"/>
    </row>
    <row r="4" spans="1:18" s="217" customFormat="1" ht="17.100000000000001" customHeight="1" x14ac:dyDescent="0.3">
      <c r="A4" s="303" t="s">
        <v>568</v>
      </c>
      <c r="B4" s="303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18" ht="17.100000000000001" customHeight="1" x14ac:dyDescent="0.3">
      <c r="A5" s="303" t="s">
        <v>554</v>
      </c>
      <c r="B5" s="303"/>
      <c r="C5" s="182"/>
      <c r="D5" s="313"/>
      <c r="E5" s="313"/>
      <c r="F5" s="182"/>
      <c r="G5" s="313" t="s">
        <v>15</v>
      </c>
      <c r="H5" s="313"/>
      <c r="I5" s="214"/>
      <c r="J5" s="214"/>
      <c r="K5" s="182"/>
      <c r="L5" s="313" t="s">
        <v>15</v>
      </c>
      <c r="M5" s="313"/>
      <c r="N5" s="214"/>
      <c r="O5" s="214"/>
      <c r="P5" s="182"/>
      <c r="Q5" s="313" t="s">
        <v>15</v>
      </c>
      <c r="R5" s="313"/>
    </row>
    <row r="6" spans="1:18" ht="17.100000000000001" customHeight="1" x14ac:dyDescent="0.25">
      <c r="A6" s="312" t="s">
        <v>19</v>
      </c>
      <c r="B6" s="312" t="s">
        <v>206</v>
      </c>
      <c r="C6" s="312" t="s">
        <v>482</v>
      </c>
      <c r="D6" s="312" t="s">
        <v>483</v>
      </c>
      <c r="E6" s="312" t="s">
        <v>481</v>
      </c>
      <c r="F6" s="312" t="s">
        <v>480</v>
      </c>
      <c r="G6" s="312"/>
      <c r="H6" s="312"/>
      <c r="I6" s="312" t="s">
        <v>511</v>
      </c>
      <c r="J6" s="312" t="s">
        <v>530</v>
      </c>
      <c r="K6" s="312" t="s">
        <v>512</v>
      </c>
      <c r="L6" s="312"/>
      <c r="M6" s="312"/>
      <c r="N6" s="312" t="s">
        <v>531</v>
      </c>
      <c r="O6" s="312" t="s">
        <v>541</v>
      </c>
      <c r="P6" s="312" t="s">
        <v>532</v>
      </c>
      <c r="Q6" s="312"/>
      <c r="R6" s="312"/>
    </row>
    <row r="7" spans="1:18" ht="41.1" customHeight="1" x14ac:dyDescent="0.25">
      <c r="A7" s="312"/>
      <c r="B7" s="312"/>
      <c r="C7" s="312"/>
      <c r="D7" s="312"/>
      <c r="E7" s="312"/>
      <c r="F7" s="240" t="s">
        <v>204</v>
      </c>
      <c r="G7" s="240" t="s">
        <v>205</v>
      </c>
      <c r="H7" s="240" t="s">
        <v>359</v>
      </c>
      <c r="I7" s="312"/>
      <c r="J7" s="312"/>
      <c r="K7" s="240" t="s">
        <v>204</v>
      </c>
      <c r="L7" s="240" t="s">
        <v>205</v>
      </c>
      <c r="M7" s="240" t="s">
        <v>359</v>
      </c>
      <c r="N7" s="312"/>
      <c r="O7" s="312"/>
      <c r="P7" s="240" t="s">
        <v>204</v>
      </c>
      <c r="Q7" s="240" t="s">
        <v>205</v>
      </c>
      <c r="R7" s="240" t="s">
        <v>359</v>
      </c>
    </row>
    <row r="8" spans="1:18" s="220" customFormat="1" ht="18" customHeight="1" x14ac:dyDescent="0.3">
      <c r="A8" s="183" t="s">
        <v>23</v>
      </c>
      <c r="B8" s="183" t="s">
        <v>207</v>
      </c>
      <c r="C8" s="184">
        <f t="shared" ref="C8:R8" si="0">C9</f>
        <v>1300000</v>
      </c>
      <c r="D8" s="184">
        <f t="shared" si="0"/>
        <v>1300000</v>
      </c>
      <c r="E8" s="184">
        <f t="shared" si="0"/>
        <v>2475000</v>
      </c>
      <c r="F8" s="184">
        <f t="shared" si="0"/>
        <v>2475000</v>
      </c>
      <c r="G8" s="184">
        <f t="shared" si="0"/>
        <v>0</v>
      </c>
      <c r="H8" s="184">
        <f t="shared" si="0"/>
        <v>0</v>
      </c>
      <c r="I8" s="184">
        <f t="shared" si="0"/>
        <v>4072000</v>
      </c>
      <c r="J8" s="184">
        <f t="shared" si="0"/>
        <v>6547000</v>
      </c>
      <c r="K8" s="184">
        <f t="shared" si="0"/>
        <v>6547000</v>
      </c>
      <c r="L8" s="184">
        <f t="shared" si="0"/>
        <v>0</v>
      </c>
      <c r="M8" s="184">
        <f t="shared" si="0"/>
        <v>0</v>
      </c>
      <c r="N8" s="184">
        <f t="shared" si="0"/>
        <v>0</v>
      </c>
      <c r="O8" s="184">
        <f t="shared" si="0"/>
        <v>6547000</v>
      </c>
      <c r="P8" s="184">
        <f t="shared" si="0"/>
        <v>6547000</v>
      </c>
      <c r="Q8" s="184">
        <f t="shared" si="0"/>
        <v>0</v>
      </c>
      <c r="R8" s="184">
        <f t="shared" si="0"/>
        <v>0</v>
      </c>
    </row>
    <row r="9" spans="1:18" s="220" customFormat="1" ht="18.75" customHeight="1" x14ac:dyDescent="0.3">
      <c r="A9" s="185" t="s">
        <v>37</v>
      </c>
      <c r="B9" s="185" t="s">
        <v>208</v>
      </c>
      <c r="C9" s="186">
        <f>'3b. HivatalVv'!C10+'3c. HivatalBgy'!C10</f>
        <v>1300000</v>
      </c>
      <c r="D9" s="186">
        <f>'3b. HivatalVv'!D10+'3c. HivatalBgy'!D10</f>
        <v>1300000</v>
      </c>
      <c r="E9" s="186">
        <f>'3b. HivatalVv'!E10+'3c. HivatalBgy'!E10</f>
        <v>2475000</v>
      </c>
      <c r="F9" s="186">
        <f>'3b. HivatalVv'!F10+'3c. HivatalBgy'!F10</f>
        <v>2475000</v>
      </c>
      <c r="G9" s="218"/>
      <c r="H9" s="218"/>
      <c r="I9" s="186">
        <f>'3b. HivatalVv'!I10+'3c. HivatalBgy'!I10</f>
        <v>4072000</v>
      </c>
      <c r="J9" s="186">
        <f>'3b. HivatalVv'!J10+'3c. HivatalBgy'!J10</f>
        <v>6547000</v>
      </c>
      <c r="K9" s="186">
        <f>'3b. HivatalVv'!K10+'3c. HivatalBgy'!K10</f>
        <v>6547000</v>
      </c>
      <c r="L9" s="218"/>
      <c r="M9" s="218"/>
      <c r="N9" s="186">
        <f>'3b. HivatalVv'!N10+'3c. HivatalBgy'!N10</f>
        <v>0</v>
      </c>
      <c r="O9" s="186">
        <f>'3b. HivatalVv'!O10+'3c. HivatalBgy'!O10</f>
        <v>6547000</v>
      </c>
      <c r="P9" s="186">
        <f>'3b. HivatalVv'!P10+'3c. HivatalBgy'!P10</f>
        <v>6547000</v>
      </c>
      <c r="Q9" s="218"/>
      <c r="R9" s="218"/>
    </row>
    <row r="10" spans="1:18" ht="17.100000000000001" customHeight="1" x14ac:dyDescent="0.3">
      <c r="A10" s="183" t="s">
        <v>45</v>
      </c>
      <c r="B10" s="183" t="s">
        <v>207</v>
      </c>
      <c r="C10" s="184">
        <f>C11</f>
        <v>1350000</v>
      </c>
      <c r="D10" s="184">
        <f>D11</f>
        <v>1510000</v>
      </c>
      <c r="E10" s="184">
        <f>E11</f>
        <v>1350000</v>
      </c>
      <c r="F10" s="184">
        <f>F11</f>
        <v>1350000</v>
      </c>
      <c r="G10" s="184">
        <v>0</v>
      </c>
      <c r="H10" s="184">
        <v>0</v>
      </c>
      <c r="I10" s="184">
        <f>I11</f>
        <v>0</v>
      </c>
      <c r="J10" s="184">
        <f>J11</f>
        <v>1350000</v>
      </c>
      <c r="K10" s="184">
        <f>K11</f>
        <v>1350000</v>
      </c>
      <c r="L10" s="184">
        <v>0</v>
      </c>
      <c r="M10" s="184">
        <v>0</v>
      </c>
      <c r="N10" s="184">
        <f>N11</f>
        <v>0</v>
      </c>
      <c r="O10" s="184">
        <f>O11</f>
        <v>1350000</v>
      </c>
      <c r="P10" s="184">
        <f>P11</f>
        <v>1350000</v>
      </c>
      <c r="Q10" s="184">
        <v>0</v>
      </c>
      <c r="R10" s="184">
        <v>0</v>
      </c>
    </row>
    <row r="11" spans="1:18" ht="17.100000000000001" customHeight="1" x14ac:dyDescent="0.3">
      <c r="A11" s="185" t="s">
        <v>53</v>
      </c>
      <c r="B11" s="185" t="s">
        <v>54</v>
      </c>
      <c r="C11" s="186">
        <f>'3c. HivatalBgy'!C12+'3b. HivatalVv'!C12</f>
        <v>1350000</v>
      </c>
      <c r="D11" s="186">
        <f>'3c. HivatalBgy'!D12+'3b. HivatalVv'!D12</f>
        <v>1510000</v>
      </c>
      <c r="E11" s="186">
        <f>'3c. HivatalBgy'!E12+'3b. HivatalVv'!E12</f>
        <v>1350000</v>
      </c>
      <c r="F11" s="186">
        <f>'3c. HivatalBgy'!F12+'3b. HivatalVv'!F12</f>
        <v>1350000</v>
      </c>
      <c r="G11" s="186"/>
      <c r="H11" s="186"/>
      <c r="I11" s="186">
        <f>'3c. HivatalBgy'!I12+'3b. HivatalVv'!I12</f>
        <v>0</v>
      </c>
      <c r="J11" s="186">
        <f>'3c. HivatalBgy'!J12+'3b. HivatalVv'!J12</f>
        <v>1350000</v>
      </c>
      <c r="K11" s="186">
        <f>'3c. HivatalBgy'!K12+'3b. HivatalVv'!K12</f>
        <v>1350000</v>
      </c>
      <c r="L11" s="186"/>
      <c r="M11" s="186"/>
      <c r="N11" s="186">
        <f>'3c. HivatalBgy'!N12+'3b. HivatalVv'!N12</f>
        <v>0</v>
      </c>
      <c r="O11" s="186">
        <f>'3c. HivatalBgy'!O12+'3b. HivatalVv'!O12</f>
        <v>1350000</v>
      </c>
      <c r="P11" s="186">
        <f>'3c. HivatalBgy'!P12+'3b. HivatalVv'!P12</f>
        <v>1350000</v>
      </c>
      <c r="Q11" s="186"/>
      <c r="R11" s="186"/>
    </row>
    <row r="12" spans="1:18" ht="17.100000000000001" customHeight="1" x14ac:dyDescent="0.3">
      <c r="A12" s="183" t="s">
        <v>55</v>
      </c>
      <c r="B12" s="183" t="s">
        <v>56</v>
      </c>
      <c r="C12" s="187">
        <f>SUM(C13:C18)</f>
        <v>156000</v>
      </c>
      <c r="D12" s="187">
        <f>SUM(D13:D18)</f>
        <v>5565</v>
      </c>
      <c r="E12" s="184">
        <f>SUM(E13:E18)</f>
        <v>156000</v>
      </c>
      <c r="F12" s="184">
        <f>SUM(F13:F18)</f>
        <v>156000</v>
      </c>
      <c r="G12" s="187">
        <v>0</v>
      </c>
      <c r="H12" s="184">
        <v>0</v>
      </c>
      <c r="I12" s="184">
        <f>SUM(I13:I18)</f>
        <v>0</v>
      </c>
      <c r="J12" s="184">
        <f>SUM(J13:J18)</f>
        <v>156000</v>
      </c>
      <c r="K12" s="184">
        <f>SUM(K13:K18)</f>
        <v>156000</v>
      </c>
      <c r="L12" s="187">
        <v>0</v>
      </c>
      <c r="M12" s="184">
        <v>0</v>
      </c>
      <c r="N12" s="184">
        <f>SUM(N13:N18)</f>
        <v>0</v>
      </c>
      <c r="O12" s="184">
        <f>SUM(O13:O18)</f>
        <v>156000</v>
      </c>
      <c r="P12" s="184">
        <f>SUM(P13:P18)</f>
        <v>156000</v>
      </c>
      <c r="Q12" s="187">
        <v>0</v>
      </c>
      <c r="R12" s="184">
        <v>0</v>
      </c>
    </row>
    <row r="13" spans="1:18" ht="17.100000000000001" customHeight="1" x14ac:dyDescent="0.3">
      <c r="A13" s="188" t="s">
        <v>57</v>
      </c>
      <c r="B13" s="188" t="s">
        <v>58</v>
      </c>
      <c r="C13" s="189"/>
      <c r="D13" s="186"/>
      <c r="E13" s="186"/>
      <c r="F13" s="186">
        <f>'3c. HivatalBgy'!F14+'3b. HivatalVv'!F14</f>
        <v>0</v>
      </c>
      <c r="G13" s="186"/>
      <c r="H13" s="186"/>
      <c r="I13" s="186"/>
      <c r="J13" s="186"/>
      <c r="K13" s="186">
        <f>'3c. HivatalBgy'!K14+'3b. HivatalVv'!K14</f>
        <v>0</v>
      </c>
      <c r="L13" s="186"/>
      <c r="M13" s="186"/>
      <c r="N13" s="186"/>
      <c r="O13" s="186"/>
      <c r="P13" s="186">
        <f>'3c. HivatalBgy'!P14+'3b. HivatalVv'!P14</f>
        <v>0</v>
      </c>
      <c r="Q13" s="186"/>
      <c r="R13" s="186"/>
    </row>
    <row r="14" spans="1:18" ht="17.100000000000001" customHeight="1" x14ac:dyDescent="0.3">
      <c r="A14" s="188" t="s">
        <v>209</v>
      </c>
      <c r="B14" s="188" t="s">
        <v>60</v>
      </c>
      <c r="C14" s="186">
        <f>'3c. HivatalBgy'!C15+'3b. HivatalVv'!C15</f>
        <v>150000</v>
      </c>
      <c r="D14" s="186">
        <f>'3c. HivatalBgy'!D15+'3b. HivatalVv'!D15</f>
        <v>0</v>
      </c>
      <c r="E14" s="186">
        <f>'3c. HivatalBgy'!E15+'3b. HivatalVv'!E15</f>
        <v>150000</v>
      </c>
      <c r="F14" s="186">
        <f>'3c. HivatalBgy'!F15+'3b. HivatalVv'!F15</f>
        <v>150000</v>
      </c>
      <c r="G14" s="186"/>
      <c r="H14" s="186"/>
      <c r="I14" s="186">
        <f>'3c. HivatalBgy'!I15+'3b. HivatalVv'!I15</f>
        <v>0</v>
      </c>
      <c r="J14" s="186">
        <f>'3c. HivatalBgy'!J15+'3b. HivatalVv'!J15</f>
        <v>150000</v>
      </c>
      <c r="K14" s="186">
        <f>'3c. HivatalBgy'!K15+'3b. HivatalVv'!K15</f>
        <v>150000</v>
      </c>
      <c r="L14" s="186"/>
      <c r="M14" s="186"/>
      <c r="N14" s="186">
        <f>'3c. HivatalBgy'!N15+'3b. HivatalVv'!N15</f>
        <v>0</v>
      </c>
      <c r="O14" s="186">
        <f>'3c. HivatalBgy'!O15+'3b. HivatalVv'!O15</f>
        <v>150000</v>
      </c>
      <c r="P14" s="186">
        <f>'3c. HivatalBgy'!P15+'3b. HivatalVv'!P15</f>
        <v>150000</v>
      </c>
      <c r="Q14" s="186"/>
      <c r="R14" s="186"/>
    </row>
    <row r="15" spans="1:18" ht="17.100000000000001" customHeight="1" x14ac:dyDescent="0.3">
      <c r="A15" s="188" t="s">
        <v>63</v>
      </c>
      <c r="B15" s="188" t="s">
        <v>210</v>
      </c>
      <c r="C15" s="189"/>
      <c r="D15" s="186">
        <f>'3c. HivatalBgy'!D16+'3b. HivatalVv'!D16</f>
        <v>0</v>
      </c>
      <c r="E15" s="186"/>
      <c r="F15" s="186">
        <f>'3c. HivatalBgy'!F16+'3b. HivatalVv'!F16</f>
        <v>0</v>
      </c>
      <c r="G15" s="186"/>
      <c r="H15" s="186"/>
      <c r="I15" s="186"/>
      <c r="J15" s="186"/>
      <c r="K15" s="186">
        <f>'3c. HivatalBgy'!K16+'3b. HivatalVv'!K16</f>
        <v>0</v>
      </c>
      <c r="L15" s="186"/>
      <c r="M15" s="186"/>
      <c r="N15" s="186"/>
      <c r="O15" s="186"/>
      <c r="P15" s="186">
        <f>'3c. HivatalBgy'!P16+'3b. HivatalVv'!P16</f>
        <v>0</v>
      </c>
      <c r="Q15" s="186"/>
      <c r="R15" s="186"/>
    </row>
    <row r="16" spans="1:18" ht="17.100000000000001" customHeight="1" x14ac:dyDescent="0.3">
      <c r="A16" s="188" t="s">
        <v>65</v>
      </c>
      <c r="B16" s="188" t="s">
        <v>211</v>
      </c>
      <c r="C16" s="189"/>
      <c r="D16" s="186">
        <f>'3c. HivatalBgy'!D17+'3b. HivatalVv'!D17</f>
        <v>0</v>
      </c>
      <c r="E16" s="186"/>
      <c r="F16" s="186">
        <f>'3c. HivatalBgy'!F17+'3b. HivatalVv'!F17</f>
        <v>0</v>
      </c>
      <c r="G16" s="186"/>
      <c r="H16" s="186"/>
      <c r="I16" s="186"/>
      <c r="J16" s="186"/>
      <c r="K16" s="186">
        <f>'3c. HivatalBgy'!K17+'3b. HivatalVv'!K17</f>
        <v>0</v>
      </c>
      <c r="L16" s="186"/>
      <c r="M16" s="186"/>
      <c r="N16" s="186"/>
      <c r="O16" s="186"/>
      <c r="P16" s="186">
        <f>'3c. HivatalBgy'!P17+'3b. HivatalVv'!P17</f>
        <v>0</v>
      </c>
      <c r="Q16" s="186"/>
      <c r="R16" s="186"/>
    </row>
    <row r="17" spans="1:18" ht="17.100000000000001" customHeight="1" x14ac:dyDescent="0.3">
      <c r="A17" s="188" t="s">
        <v>67</v>
      </c>
      <c r="B17" s="188" t="s">
        <v>68</v>
      </c>
      <c r="C17" s="186">
        <f>'3c. HivatalBgy'!C18+'3b. HivatalVv'!C18</f>
        <v>1000</v>
      </c>
      <c r="D17" s="186">
        <f>'3c. HivatalBgy'!D18+'3b. HivatalVv'!D18</f>
        <v>1</v>
      </c>
      <c r="E17" s="186">
        <f>'3c. HivatalBgy'!E18+'3b. HivatalVv'!E18</f>
        <v>1000</v>
      </c>
      <c r="F17" s="186">
        <f>'3c. HivatalBgy'!F18+'3b. HivatalVv'!F18</f>
        <v>1000</v>
      </c>
      <c r="G17" s="186"/>
      <c r="H17" s="186"/>
      <c r="I17" s="186">
        <f>'3c. HivatalBgy'!I18+'3b. HivatalVv'!I18</f>
        <v>0</v>
      </c>
      <c r="J17" s="186">
        <f>'3c. HivatalBgy'!J18+'3b. HivatalVv'!J18</f>
        <v>1000</v>
      </c>
      <c r="K17" s="186">
        <f>'3c. HivatalBgy'!K18+'3b. HivatalVv'!K18</f>
        <v>1000</v>
      </c>
      <c r="L17" s="186"/>
      <c r="M17" s="186"/>
      <c r="N17" s="186">
        <f>'3c. HivatalBgy'!N18+'3b. HivatalVv'!N18</f>
        <v>0</v>
      </c>
      <c r="O17" s="186">
        <f>'3c. HivatalBgy'!O18+'3b. HivatalVv'!O18</f>
        <v>1000</v>
      </c>
      <c r="P17" s="186">
        <f>'3c. HivatalBgy'!P18+'3b. HivatalVv'!P18</f>
        <v>1000</v>
      </c>
      <c r="Q17" s="186"/>
      <c r="R17" s="186"/>
    </row>
    <row r="18" spans="1:18" ht="17.100000000000001" customHeight="1" x14ac:dyDescent="0.3">
      <c r="A18" s="188" t="s">
        <v>71</v>
      </c>
      <c r="B18" s="188" t="s">
        <v>72</v>
      </c>
      <c r="C18" s="186">
        <f>'3c. HivatalBgy'!C19+'3b. HivatalVv'!C19</f>
        <v>5000</v>
      </c>
      <c r="D18" s="186">
        <f>'3c. HivatalBgy'!D19+'3b. HivatalVv'!D19</f>
        <v>5564</v>
      </c>
      <c r="E18" s="186">
        <f>'3c. HivatalBgy'!E19+'3b. HivatalVv'!E19</f>
        <v>5000</v>
      </c>
      <c r="F18" s="186">
        <f>'3c. HivatalBgy'!F19+'3b. HivatalVv'!F19</f>
        <v>5000</v>
      </c>
      <c r="G18" s="186"/>
      <c r="H18" s="186"/>
      <c r="I18" s="186">
        <f>'3c. HivatalBgy'!I19+'3b. HivatalVv'!I19</f>
        <v>0</v>
      </c>
      <c r="J18" s="186">
        <f>'3c. HivatalBgy'!J19+'3b. HivatalVv'!J19</f>
        <v>5000</v>
      </c>
      <c r="K18" s="186">
        <f>'3c. HivatalBgy'!K19+'3b. HivatalVv'!K19</f>
        <v>5000</v>
      </c>
      <c r="L18" s="186"/>
      <c r="M18" s="186"/>
      <c r="N18" s="186">
        <f>'3c. HivatalBgy'!N19+'3b. HivatalVv'!N19</f>
        <v>0</v>
      </c>
      <c r="O18" s="186">
        <f>'3c. HivatalBgy'!O19+'3b. HivatalVv'!O19</f>
        <v>5000</v>
      </c>
      <c r="P18" s="186">
        <f>'3c. HivatalBgy'!P19+'3b. HivatalVv'!P19</f>
        <v>5000</v>
      </c>
      <c r="Q18" s="186"/>
      <c r="R18" s="186"/>
    </row>
    <row r="19" spans="1:18" ht="17.100000000000001" customHeight="1" x14ac:dyDescent="0.3">
      <c r="A19" s="183" t="s">
        <v>73</v>
      </c>
      <c r="B19" s="183" t="s">
        <v>74</v>
      </c>
      <c r="C19" s="184">
        <f>C20</f>
        <v>0</v>
      </c>
      <c r="D19" s="184">
        <f>D20</f>
        <v>0</v>
      </c>
      <c r="E19" s="184">
        <f>E20</f>
        <v>0</v>
      </c>
      <c r="F19" s="184">
        <f>F20</f>
        <v>0</v>
      </c>
      <c r="G19" s="184">
        <v>0</v>
      </c>
      <c r="H19" s="184">
        <v>0</v>
      </c>
      <c r="I19" s="184">
        <f>I20</f>
        <v>0</v>
      </c>
      <c r="J19" s="184">
        <f>J20</f>
        <v>0</v>
      </c>
      <c r="K19" s="184">
        <f>K20</f>
        <v>0</v>
      </c>
      <c r="L19" s="184">
        <v>0</v>
      </c>
      <c r="M19" s="184">
        <v>0</v>
      </c>
      <c r="N19" s="184">
        <f>N20</f>
        <v>0</v>
      </c>
      <c r="O19" s="184">
        <f>O20</f>
        <v>0</v>
      </c>
      <c r="P19" s="184">
        <f>P20</f>
        <v>0</v>
      </c>
      <c r="Q19" s="184">
        <v>0</v>
      </c>
      <c r="R19" s="184">
        <v>0</v>
      </c>
    </row>
    <row r="20" spans="1:18" ht="17.100000000000001" customHeight="1" x14ac:dyDescent="0.3">
      <c r="A20" s="185" t="s">
        <v>212</v>
      </c>
      <c r="B20" s="185" t="s">
        <v>213</v>
      </c>
      <c r="C20" s="186"/>
      <c r="D20" s="186"/>
      <c r="E20" s="186"/>
      <c r="F20" s="186">
        <f>'3c. HivatalBgy'!F21+'3b. HivatalVv'!F21</f>
        <v>0</v>
      </c>
      <c r="G20" s="186"/>
      <c r="H20" s="186"/>
      <c r="I20" s="186"/>
      <c r="J20" s="186"/>
      <c r="K20" s="186">
        <f>'3c. HivatalBgy'!K21+'3b. HivatalVv'!K21</f>
        <v>0</v>
      </c>
      <c r="L20" s="186"/>
      <c r="M20" s="186"/>
      <c r="N20" s="186"/>
      <c r="O20" s="186"/>
      <c r="P20" s="186">
        <f>'3c. HivatalBgy'!P21+'3b. HivatalVv'!P21</f>
        <v>0</v>
      </c>
      <c r="Q20" s="186"/>
      <c r="R20" s="186"/>
    </row>
    <row r="21" spans="1:18" ht="17.100000000000001" customHeight="1" x14ac:dyDescent="0.3">
      <c r="A21" s="183" t="s">
        <v>214</v>
      </c>
      <c r="B21" s="183" t="s">
        <v>86</v>
      </c>
      <c r="C21" s="187">
        <f>C10+C12+C19+C8</f>
        <v>2806000</v>
      </c>
      <c r="D21" s="187">
        <f t="shared" ref="D21:F21" si="1">D10+D12+D19+D8</f>
        <v>2815565</v>
      </c>
      <c r="E21" s="187">
        <f t="shared" si="1"/>
        <v>3981000</v>
      </c>
      <c r="F21" s="187">
        <f t="shared" si="1"/>
        <v>3981000</v>
      </c>
      <c r="G21" s="187">
        <v>0</v>
      </c>
      <c r="H21" s="187">
        <f>H10+H12+H19</f>
        <v>0</v>
      </c>
      <c r="I21" s="187">
        <f t="shared" ref="I21:K21" si="2">I10+I12+I19+I8</f>
        <v>4072000</v>
      </c>
      <c r="J21" s="187">
        <f t="shared" si="2"/>
        <v>8053000</v>
      </c>
      <c r="K21" s="187">
        <f t="shared" si="2"/>
        <v>8053000</v>
      </c>
      <c r="L21" s="187">
        <v>0</v>
      </c>
      <c r="M21" s="187">
        <f>M10+M12+M19</f>
        <v>0</v>
      </c>
      <c r="N21" s="187">
        <f t="shared" ref="N21:P21" si="3">N10+N12+N19+N8</f>
        <v>0</v>
      </c>
      <c r="O21" s="187">
        <f t="shared" si="3"/>
        <v>8053000</v>
      </c>
      <c r="P21" s="187">
        <f t="shared" si="3"/>
        <v>8053000</v>
      </c>
      <c r="Q21" s="187">
        <v>0</v>
      </c>
      <c r="R21" s="187">
        <f>R10+R12+R19</f>
        <v>0</v>
      </c>
    </row>
    <row r="22" spans="1:18" ht="17.100000000000001" customHeight="1" x14ac:dyDescent="0.3">
      <c r="A22" s="183" t="s">
        <v>87</v>
      </c>
      <c r="B22" s="183" t="s">
        <v>88</v>
      </c>
      <c r="C22" s="187">
        <f>SUM(C23:C24)</f>
        <v>116421000</v>
      </c>
      <c r="D22" s="187">
        <f t="shared" ref="D22:F22" si="4">SUM(D23:D24)</f>
        <v>111791099</v>
      </c>
      <c r="E22" s="187">
        <f t="shared" si="4"/>
        <v>130902000</v>
      </c>
      <c r="F22" s="187">
        <f t="shared" si="4"/>
        <v>130902000</v>
      </c>
      <c r="G22" s="190">
        <v>0</v>
      </c>
      <c r="H22" s="190">
        <v>0</v>
      </c>
      <c r="I22" s="187">
        <f t="shared" ref="I22:K22" si="5">SUM(I23:I24)</f>
        <v>0</v>
      </c>
      <c r="J22" s="187">
        <f t="shared" si="5"/>
        <v>130902000</v>
      </c>
      <c r="K22" s="187">
        <f t="shared" si="5"/>
        <v>130902000</v>
      </c>
      <c r="L22" s="190">
        <v>0</v>
      </c>
      <c r="M22" s="190">
        <v>0</v>
      </c>
      <c r="N22" s="187">
        <f t="shared" ref="N22:P22" si="6">SUM(N23:N24)</f>
        <v>6000000</v>
      </c>
      <c r="O22" s="187">
        <f t="shared" si="6"/>
        <v>136902000</v>
      </c>
      <c r="P22" s="187">
        <f t="shared" si="6"/>
        <v>136902000</v>
      </c>
      <c r="Q22" s="190">
        <v>0</v>
      </c>
      <c r="R22" s="190">
        <v>0</v>
      </c>
    </row>
    <row r="23" spans="1:18" ht="17.100000000000001" customHeight="1" x14ac:dyDescent="0.3">
      <c r="A23" s="188" t="s">
        <v>93</v>
      </c>
      <c r="B23" s="188" t="s">
        <v>94</v>
      </c>
      <c r="C23" s="186">
        <f>'3c. HivatalBgy'!C24+'3b. HivatalVv'!C24</f>
        <v>1392000</v>
      </c>
      <c r="D23" s="186">
        <f>'3c. HivatalBgy'!D24+'3b. HivatalVv'!D24</f>
        <v>1391727</v>
      </c>
      <c r="E23" s="186">
        <f>'3c. HivatalBgy'!E24+'3b. HivatalVv'!E24</f>
        <v>0</v>
      </c>
      <c r="F23" s="186">
        <f>'3c. HivatalBgy'!F24+'3b. HivatalVv'!F24</f>
        <v>0</v>
      </c>
      <c r="G23" s="186"/>
      <c r="H23" s="186"/>
      <c r="I23" s="186">
        <f>'3c. HivatalBgy'!I24+'3b. HivatalVv'!I24</f>
        <v>4596941</v>
      </c>
      <c r="J23" s="186">
        <f>'3c. HivatalBgy'!J24+'3b. HivatalVv'!J24</f>
        <v>4596941</v>
      </c>
      <c r="K23" s="186">
        <f>'3c. HivatalBgy'!K24+'3b. HivatalVv'!K24</f>
        <v>4596941</v>
      </c>
      <c r="L23" s="186"/>
      <c r="M23" s="186"/>
      <c r="N23" s="186">
        <f>'3c. HivatalBgy'!N24+'3b. HivatalVv'!N24</f>
        <v>0</v>
      </c>
      <c r="O23" s="186">
        <f>'3c. HivatalBgy'!O24+'3b. HivatalVv'!O24</f>
        <v>4596941</v>
      </c>
      <c r="P23" s="186">
        <f>'3c. HivatalBgy'!P24+'3b. HivatalVv'!P24</f>
        <v>4596941</v>
      </c>
      <c r="Q23" s="186"/>
      <c r="R23" s="186"/>
    </row>
    <row r="24" spans="1:18" ht="17.100000000000001" customHeight="1" x14ac:dyDescent="0.3">
      <c r="A24" s="185" t="s">
        <v>215</v>
      </c>
      <c r="B24" s="185" t="s">
        <v>216</v>
      </c>
      <c r="C24" s="186">
        <f>'3c. HivatalBgy'!C25+'3b. HivatalVv'!C25</f>
        <v>115029000</v>
      </c>
      <c r="D24" s="186">
        <f>'3c. HivatalBgy'!D25+'3b. HivatalVv'!D25</f>
        <v>110399372</v>
      </c>
      <c r="E24" s="186">
        <f>'3c. HivatalBgy'!E25+'3b. HivatalVv'!E25</f>
        <v>130902000</v>
      </c>
      <c r="F24" s="186">
        <f>'3c. HivatalBgy'!F25+'3b. HivatalVv'!F25</f>
        <v>130902000</v>
      </c>
      <c r="G24" s="186"/>
      <c r="H24" s="186"/>
      <c r="I24" s="186">
        <f>'3c. HivatalBgy'!I25+'3b. HivatalVv'!I25</f>
        <v>-4596941</v>
      </c>
      <c r="J24" s="186">
        <f>'3c. HivatalBgy'!J25+'3b. HivatalVv'!J25</f>
        <v>126305059</v>
      </c>
      <c r="K24" s="186">
        <f>'3c. HivatalBgy'!K25+'3b. HivatalVv'!K25</f>
        <v>126305059</v>
      </c>
      <c r="L24" s="186"/>
      <c r="M24" s="186"/>
      <c r="N24" s="186">
        <f>'3c. HivatalBgy'!N25+'3b. HivatalVv'!N25</f>
        <v>6000000</v>
      </c>
      <c r="O24" s="186">
        <f>'3c. HivatalBgy'!O25+'3b. HivatalVv'!O25</f>
        <v>132305059</v>
      </c>
      <c r="P24" s="186">
        <f>'3c. HivatalBgy'!P25+'3b. HivatalVv'!P25</f>
        <v>132305059</v>
      </c>
      <c r="Q24" s="186"/>
      <c r="R24" s="186"/>
    </row>
    <row r="25" spans="1:18" ht="33" customHeight="1" x14ac:dyDescent="0.25">
      <c r="A25" s="315" t="s">
        <v>396</v>
      </c>
      <c r="B25" s="310"/>
      <c r="C25" s="191">
        <f>C22+C21</f>
        <v>119227000</v>
      </c>
      <c r="D25" s="191">
        <f t="shared" ref="D25:F25" si="7">D22+D21</f>
        <v>114606664</v>
      </c>
      <c r="E25" s="191">
        <f t="shared" si="7"/>
        <v>134883000</v>
      </c>
      <c r="F25" s="191">
        <f t="shared" si="7"/>
        <v>134883000</v>
      </c>
      <c r="G25" s="192">
        <f>G21+G22</f>
        <v>0</v>
      </c>
      <c r="H25" s="192">
        <f>H21+H22</f>
        <v>0</v>
      </c>
      <c r="I25" s="191">
        <f t="shared" ref="I25:K25" si="8">I22+I21</f>
        <v>4072000</v>
      </c>
      <c r="J25" s="191">
        <f t="shared" si="8"/>
        <v>138955000</v>
      </c>
      <c r="K25" s="191">
        <f t="shared" si="8"/>
        <v>138955000</v>
      </c>
      <c r="L25" s="192">
        <f>L21+L22</f>
        <v>0</v>
      </c>
      <c r="M25" s="192">
        <f>M21+M22</f>
        <v>0</v>
      </c>
      <c r="N25" s="191">
        <f t="shared" ref="N25:P25" si="9">N22+N21</f>
        <v>6000000</v>
      </c>
      <c r="O25" s="191">
        <f t="shared" si="9"/>
        <v>144955000</v>
      </c>
      <c r="P25" s="191">
        <f t="shared" si="9"/>
        <v>144955000</v>
      </c>
      <c r="Q25" s="192">
        <f>Q21+Q22</f>
        <v>0</v>
      </c>
      <c r="R25" s="192">
        <f>R21+R22</f>
        <v>0</v>
      </c>
    </row>
    <row r="26" spans="1:18" ht="17.100000000000001" customHeight="1" x14ac:dyDescent="0.3">
      <c r="A26" s="193"/>
      <c r="B26" s="193"/>
      <c r="C26" s="194"/>
      <c r="D26" s="195"/>
      <c r="E26" s="196"/>
      <c r="F26" s="194"/>
      <c r="G26" s="195"/>
      <c r="H26" s="195"/>
      <c r="I26" s="196"/>
      <c r="J26" s="196"/>
      <c r="K26" s="194"/>
      <c r="L26" s="195"/>
      <c r="M26" s="195"/>
      <c r="N26" s="196"/>
      <c r="O26" s="196"/>
      <c r="P26" s="194"/>
      <c r="Q26" s="195"/>
      <c r="R26" s="195"/>
    </row>
    <row r="27" spans="1:18" ht="17.100000000000001" customHeight="1" x14ac:dyDescent="0.3">
      <c r="A27" s="197"/>
      <c r="B27" s="198"/>
      <c r="C27" s="199"/>
      <c r="D27" s="200"/>
      <c r="E27" s="196"/>
      <c r="F27" s="199"/>
      <c r="G27" s="200"/>
      <c r="H27" s="200"/>
      <c r="I27" s="196"/>
      <c r="J27" s="196"/>
      <c r="K27" s="199"/>
      <c r="L27" s="200"/>
      <c r="M27" s="200"/>
      <c r="N27" s="196"/>
      <c r="O27" s="196"/>
      <c r="P27" s="199"/>
      <c r="Q27" s="200"/>
      <c r="R27" s="200"/>
    </row>
    <row r="28" spans="1:18" ht="17.100000000000001" customHeight="1" x14ac:dyDescent="0.25">
      <c r="A28" s="325" t="str">
        <f>A6</f>
        <v>Rovatszám</v>
      </c>
      <c r="B28" s="325" t="s">
        <v>217</v>
      </c>
      <c r="C28" s="325" t="str">
        <f>C6</f>
        <v>Módosított előirányzat        2021.</v>
      </c>
      <c r="D28" s="325" t="str">
        <f>D6</f>
        <v>Várható teljesítés 2021.</v>
      </c>
      <c r="E28" s="325" t="str">
        <f>E6</f>
        <v>Eredeti előirányzat       2022.</v>
      </c>
      <c r="F28" s="322" t="str">
        <f>F6</f>
        <v>Eredeti előirányzat 2022.</v>
      </c>
      <c r="G28" s="323"/>
      <c r="H28" s="324"/>
      <c r="I28" s="312" t="s">
        <v>511</v>
      </c>
      <c r="J28" s="312" t="s">
        <v>530</v>
      </c>
      <c r="K28" s="312" t="s">
        <v>512</v>
      </c>
      <c r="L28" s="312"/>
      <c r="M28" s="312"/>
      <c r="N28" s="312" t="s">
        <v>531</v>
      </c>
      <c r="O28" s="312" t="s">
        <v>541</v>
      </c>
      <c r="P28" s="312" t="s">
        <v>532</v>
      </c>
      <c r="Q28" s="312"/>
      <c r="R28" s="312"/>
    </row>
    <row r="29" spans="1:18" ht="47.85" customHeight="1" x14ac:dyDescent="0.25">
      <c r="A29" s="326"/>
      <c r="B29" s="326"/>
      <c r="C29" s="326"/>
      <c r="D29" s="326"/>
      <c r="E29" s="326"/>
      <c r="F29" s="240" t="str">
        <f>F7</f>
        <v>Kötelező feladatok</v>
      </c>
      <c r="G29" s="240" t="str">
        <f>G7</f>
        <v>Önként vállalt feladatok</v>
      </c>
      <c r="H29" s="240" t="str">
        <f>H7</f>
        <v>Államigaz-gatási feladatok</v>
      </c>
      <c r="I29" s="312"/>
      <c r="J29" s="312"/>
      <c r="K29" s="240" t="s">
        <v>204</v>
      </c>
      <c r="L29" s="240" t="s">
        <v>205</v>
      </c>
      <c r="M29" s="240" t="s">
        <v>359</v>
      </c>
      <c r="N29" s="312"/>
      <c r="O29" s="312"/>
      <c r="P29" s="240" t="s">
        <v>204</v>
      </c>
      <c r="Q29" s="240" t="s">
        <v>205</v>
      </c>
      <c r="R29" s="240" t="s">
        <v>359</v>
      </c>
    </row>
    <row r="30" spans="1:18" ht="17.100000000000001" customHeight="1" x14ac:dyDescent="0.3">
      <c r="A30" s="183" t="s">
        <v>97</v>
      </c>
      <c r="B30" s="183" t="s">
        <v>98</v>
      </c>
      <c r="C30" s="201">
        <f>SUM(C31:C32)</f>
        <v>78250000</v>
      </c>
      <c r="D30" s="201">
        <f>SUM(D31:D32)</f>
        <v>72358313</v>
      </c>
      <c r="E30" s="202">
        <f>SUM(E31:E32)</f>
        <v>93555000</v>
      </c>
      <c r="F30" s="202">
        <f>SUM(F31:F32)</f>
        <v>93555000</v>
      </c>
      <c r="G30" s="201">
        <f>SUM(G31:G32)</f>
        <v>0</v>
      </c>
      <c r="H30" s="202">
        <v>0</v>
      </c>
      <c r="I30" s="202">
        <f>SUM(I31:I32)</f>
        <v>3860000</v>
      </c>
      <c r="J30" s="202">
        <f>SUM(J31:J32)</f>
        <v>97415000</v>
      </c>
      <c r="K30" s="202">
        <f>SUM(K31:K32)</f>
        <v>97415000</v>
      </c>
      <c r="L30" s="201">
        <f>SUM(L31:L32)</f>
        <v>0</v>
      </c>
      <c r="M30" s="202">
        <v>0</v>
      </c>
      <c r="N30" s="202">
        <f>SUM(N31:N32)</f>
        <v>0</v>
      </c>
      <c r="O30" s="202">
        <f>SUM(O31:O32)</f>
        <v>97415000</v>
      </c>
      <c r="P30" s="202">
        <f>SUM(P31:P32)</f>
        <v>97415000</v>
      </c>
      <c r="Q30" s="201">
        <f>SUM(Q31:Q32)</f>
        <v>0</v>
      </c>
      <c r="R30" s="202">
        <v>0</v>
      </c>
    </row>
    <row r="31" spans="1:18" ht="17.100000000000001" customHeight="1" x14ac:dyDescent="0.3">
      <c r="A31" s="188" t="s">
        <v>99</v>
      </c>
      <c r="B31" s="188" t="s">
        <v>100</v>
      </c>
      <c r="C31" s="186">
        <f>'3c. HivatalBgy'!C32+'3b. HivatalVv'!C32</f>
        <v>75900000</v>
      </c>
      <c r="D31" s="186">
        <f>'3c. HivatalBgy'!D32+'3b. HivatalVv'!D32</f>
        <v>71689457</v>
      </c>
      <c r="E31" s="186">
        <f>'3c. HivatalBgy'!E32+'3b. HivatalVv'!E32</f>
        <v>89635000</v>
      </c>
      <c r="F31" s="186">
        <f>'3c. HivatalBgy'!F32+'3b. HivatalVv'!F32</f>
        <v>89635000</v>
      </c>
      <c r="G31" s="203"/>
      <c r="H31" s="203"/>
      <c r="I31" s="186">
        <f>'3c. HivatalBgy'!I32+'3b. HivatalVv'!I32</f>
        <v>180000</v>
      </c>
      <c r="J31" s="186">
        <f>'3c. HivatalBgy'!J32+'3b. HivatalVv'!J32</f>
        <v>89815000</v>
      </c>
      <c r="K31" s="186">
        <f>'3c. HivatalBgy'!K32+'3b. HivatalVv'!K32</f>
        <v>89815000</v>
      </c>
      <c r="L31" s="203"/>
      <c r="M31" s="203"/>
      <c r="N31" s="186">
        <f>'3c. HivatalBgy'!N32+'3b. HivatalVv'!N32</f>
        <v>0</v>
      </c>
      <c r="O31" s="186">
        <f>'3c. HivatalBgy'!O32+'3b. HivatalVv'!O32</f>
        <v>89815000</v>
      </c>
      <c r="P31" s="186">
        <f>'3c. HivatalBgy'!P32+'3b. HivatalVv'!P32</f>
        <v>89815000</v>
      </c>
      <c r="Q31" s="203"/>
      <c r="R31" s="203"/>
    </row>
    <row r="32" spans="1:18" ht="17.100000000000001" customHeight="1" x14ac:dyDescent="0.3">
      <c r="A32" s="188" t="s">
        <v>113</v>
      </c>
      <c r="B32" s="188" t="s">
        <v>114</v>
      </c>
      <c r="C32" s="186">
        <f>'3c. HivatalBgy'!C33+'3b. HivatalVv'!C33</f>
        <v>2350000</v>
      </c>
      <c r="D32" s="186">
        <f>'3c. HivatalBgy'!D33+'3b. HivatalVv'!D33</f>
        <v>668856</v>
      </c>
      <c r="E32" s="186">
        <f>'3c. HivatalBgy'!E33+'3b. HivatalVv'!E33</f>
        <v>3920000</v>
      </c>
      <c r="F32" s="186">
        <f>'3c. HivatalBgy'!F33+'3b. HivatalVv'!F33</f>
        <v>3920000</v>
      </c>
      <c r="G32" s="203"/>
      <c r="H32" s="203"/>
      <c r="I32" s="186">
        <f>'3c. HivatalBgy'!I33+'3b. HivatalVv'!I33</f>
        <v>3680000</v>
      </c>
      <c r="J32" s="186">
        <f>'3c. HivatalBgy'!J33+'3b. HivatalVv'!J33</f>
        <v>7600000</v>
      </c>
      <c r="K32" s="186">
        <f>'3c. HivatalBgy'!K33+'3b. HivatalVv'!K33</f>
        <v>7600000</v>
      </c>
      <c r="L32" s="203"/>
      <c r="M32" s="203"/>
      <c r="N32" s="186">
        <f>'3c. HivatalBgy'!N33+'3b. HivatalVv'!N33</f>
        <v>0</v>
      </c>
      <c r="O32" s="186">
        <f>'3c. HivatalBgy'!O33+'3b. HivatalVv'!O33</f>
        <v>7600000</v>
      </c>
      <c r="P32" s="186">
        <f>'3c. HivatalBgy'!P33+'3b. HivatalVv'!P33</f>
        <v>7600000</v>
      </c>
      <c r="Q32" s="203"/>
      <c r="R32" s="203"/>
    </row>
    <row r="33" spans="1:18" ht="17.100000000000001" customHeight="1" x14ac:dyDescent="0.3">
      <c r="A33" s="183" t="s">
        <v>120</v>
      </c>
      <c r="B33" s="183" t="s">
        <v>121</v>
      </c>
      <c r="C33" s="215">
        <f>'3c. HivatalBgy'!C34+'3b. HivatalVv'!C34</f>
        <v>12145000</v>
      </c>
      <c r="D33" s="215">
        <f>'3c. HivatalBgy'!D34+'3b. HivatalVv'!D34</f>
        <v>10539373</v>
      </c>
      <c r="E33" s="215">
        <f>'3c. HivatalBgy'!E34+'3b. HivatalVv'!E34</f>
        <v>13160000</v>
      </c>
      <c r="F33" s="215">
        <f>'3c. HivatalBgy'!F34+'3b. HivatalVv'!F34</f>
        <v>13160000</v>
      </c>
      <c r="G33" s="204"/>
      <c r="H33" s="204"/>
      <c r="I33" s="215">
        <f>'3c. HivatalBgy'!I34+'3b. HivatalVv'!I34</f>
        <v>460000</v>
      </c>
      <c r="J33" s="215">
        <f>'3c. HivatalBgy'!J34+'3b. HivatalVv'!J34</f>
        <v>13620000</v>
      </c>
      <c r="K33" s="215">
        <f>'3c. HivatalBgy'!K34+'3b. HivatalVv'!K34</f>
        <v>13620000</v>
      </c>
      <c r="L33" s="204"/>
      <c r="M33" s="204"/>
      <c r="N33" s="215">
        <f>'3c. HivatalBgy'!N34+'3b. HivatalVv'!N34</f>
        <v>0</v>
      </c>
      <c r="O33" s="215">
        <f>'3c. HivatalBgy'!O34+'3b. HivatalVv'!O34</f>
        <v>13620000</v>
      </c>
      <c r="P33" s="215">
        <f>'3c. HivatalBgy'!P34+'3b. HivatalVv'!P34</f>
        <v>13620000</v>
      </c>
      <c r="Q33" s="204"/>
      <c r="R33" s="204"/>
    </row>
    <row r="34" spans="1:18" ht="17.100000000000001" customHeight="1" x14ac:dyDescent="0.3">
      <c r="A34" s="183" t="s">
        <v>122</v>
      </c>
      <c r="B34" s="183" t="s">
        <v>123</v>
      </c>
      <c r="C34" s="201">
        <f>SUM(C35:C39)</f>
        <v>27084480</v>
      </c>
      <c r="D34" s="205">
        <f>SUM(D35:D39)</f>
        <v>17343912</v>
      </c>
      <c r="E34" s="205">
        <f>SUM(E35:E39)</f>
        <v>26771000</v>
      </c>
      <c r="F34" s="205">
        <f>SUM(F35:F39)</f>
        <v>26771000</v>
      </c>
      <c r="G34" s="205">
        <v>0</v>
      </c>
      <c r="H34" s="205">
        <v>0</v>
      </c>
      <c r="I34" s="205">
        <f>SUM(I35:I39)</f>
        <v>-248000</v>
      </c>
      <c r="J34" s="205">
        <f>SUM(J35:J39)</f>
        <v>26523000</v>
      </c>
      <c r="K34" s="205">
        <f>SUM(K35:K39)</f>
        <v>26523000</v>
      </c>
      <c r="L34" s="205">
        <v>0</v>
      </c>
      <c r="M34" s="205">
        <v>0</v>
      </c>
      <c r="N34" s="205">
        <f>SUM(N35:N39)</f>
        <v>5000000</v>
      </c>
      <c r="O34" s="205">
        <f>SUM(O35:O39)</f>
        <v>31523000</v>
      </c>
      <c r="P34" s="205">
        <f>SUM(P35:P39)</f>
        <v>31523000</v>
      </c>
      <c r="Q34" s="205">
        <v>0</v>
      </c>
      <c r="R34" s="205">
        <v>0</v>
      </c>
    </row>
    <row r="35" spans="1:18" ht="17.100000000000001" customHeight="1" x14ac:dyDescent="0.3">
      <c r="A35" s="188" t="s">
        <v>124</v>
      </c>
      <c r="B35" s="188" t="s">
        <v>125</v>
      </c>
      <c r="C35" s="186">
        <f>'3c. HivatalBgy'!C36+'3b. HivatalVv'!C36</f>
        <v>2825000</v>
      </c>
      <c r="D35" s="186">
        <f>'3c. HivatalBgy'!D36+'3b. HivatalVv'!D36</f>
        <v>1653564</v>
      </c>
      <c r="E35" s="186">
        <f>'3c. HivatalBgy'!E36+'3b. HivatalVv'!E36</f>
        <v>3336000</v>
      </c>
      <c r="F35" s="186">
        <f>'3c. HivatalBgy'!F36+'3b. HivatalVv'!F36</f>
        <v>3336000</v>
      </c>
      <c r="G35" s="203"/>
      <c r="H35" s="203"/>
      <c r="I35" s="186">
        <f>'3c. HivatalBgy'!I36+'3b. HivatalVv'!I36</f>
        <v>50000</v>
      </c>
      <c r="J35" s="186">
        <f>'3c. HivatalBgy'!J36+'3b. HivatalVv'!J36</f>
        <v>3386000</v>
      </c>
      <c r="K35" s="186">
        <f>'3c. HivatalBgy'!K36+'3b. HivatalVv'!K36</f>
        <v>3386000</v>
      </c>
      <c r="L35" s="203"/>
      <c r="M35" s="203"/>
      <c r="N35" s="186">
        <f>'3c. HivatalBgy'!N36+'3b. HivatalVv'!N36</f>
        <v>1600000</v>
      </c>
      <c r="O35" s="186">
        <f>'3c. HivatalBgy'!O36+'3b. HivatalVv'!O36</f>
        <v>4986000</v>
      </c>
      <c r="P35" s="186">
        <f>'3c. HivatalBgy'!P36+'3b. HivatalVv'!P36</f>
        <v>4986000</v>
      </c>
      <c r="Q35" s="203"/>
      <c r="R35" s="203"/>
    </row>
    <row r="36" spans="1:18" ht="17.100000000000001" customHeight="1" x14ac:dyDescent="0.3">
      <c r="A36" s="188" t="s">
        <v>130</v>
      </c>
      <c r="B36" s="188" t="s">
        <v>131</v>
      </c>
      <c r="C36" s="186">
        <f>'3c. HivatalBgy'!C37+'3b. HivatalVv'!C37</f>
        <v>4400000</v>
      </c>
      <c r="D36" s="186">
        <f>'3c. HivatalBgy'!D37+'3b. HivatalVv'!D37</f>
        <v>3348035</v>
      </c>
      <c r="E36" s="186">
        <f>'3c. HivatalBgy'!E37+'3b. HivatalVv'!E37</f>
        <v>4400000</v>
      </c>
      <c r="F36" s="186">
        <f>'3c. HivatalBgy'!F37+'3b. HivatalVv'!F37</f>
        <v>4400000</v>
      </c>
      <c r="G36" s="203"/>
      <c r="H36" s="203"/>
      <c r="I36" s="186">
        <f>'3c. HivatalBgy'!I37+'3b. HivatalVv'!I37</f>
        <v>0</v>
      </c>
      <c r="J36" s="186">
        <f>'3c. HivatalBgy'!J37+'3b. HivatalVv'!J37</f>
        <v>4400000</v>
      </c>
      <c r="K36" s="186">
        <f>'3c. HivatalBgy'!K37+'3b. HivatalVv'!K37</f>
        <v>4400000</v>
      </c>
      <c r="L36" s="203"/>
      <c r="M36" s="203"/>
      <c r="N36" s="186">
        <f>'3c. HivatalBgy'!N37+'3b. HivatalVv'!N37</f>
        <v>0</v>
      </c>
      <c r="O36" s="186">
        <f>'3c. HivatalBgy'!O37+'3b. HivatalVv'!O37</f>
        <v>4400000</v>
      </c>
      <c r="P36" s="186">
        <f>'3c. HivatalBgy'!P37+'3b. HivatalVv'!P37</f>
        <v>4400000</v>
      </c>
      <c r="Q36" s="203"/>
      <c r="R36" s="203"/>
    </row>
    <row r="37" spans="1:18" ht="17.100000000000001" customHeight="1" x14ac:dyDescent="0.3">
      <c r="A37" s="188" t="s">
        <v>136</v>
      </c>
      <c r="B37" s="188" t="s">
        <v>137</v>
      </c>
      <c r="C37" s="186">
        <f>'3c. HivatalBgy'!C38+'3b. HivatalVv'!C38</f>
        <v>14259480</v>
      </c>
      <c r="D37" s="186">
        <f>'3c. HivatalBgy'!D38+'3b. HivatalVv'!D38</f>
        <v>8637462</v>
      </c>
      <c r="E37" s="186">
        <f>'3c. HivatalBgy'!E38+'3b. HivatalVv'!E38</f>
        <v>12300000</v>
      </c>
      <c r="F37" s="186">
        <f>'3c. HivatalBgy'!F38+'3b. HivatalVv'!F38</f>
        <v>12300000</v>
      </c>
      <c r="G37" s="203"/>
      <c r="H37" s="203"/>
      <c r="I37" s="186">
        <f>'3c. HivatalBgy'!I38+'3b. HivatalVv'!I38</f>
        <v>-301000</v>
      </c>
      <c r="J37" s="186">
        <f>'3c. HivatalBgy'!J38+'3b. HivatalVv'!J38</f>
        <v>11999000</v>
      </c>
      <c r="K37" s="186">
        <f>'3c. HivatalBgy'!K38+'3b. HivatalVv'!K38</f>
        <v>11999000</v>
      </c>
      <c r="L37" s="203"/>
      <c r="M37" s="203"/>
      <c r="N37" s="186">
        <f>'3c. HivatalBgy'!N38+'3b. HivatalVv'!N38</f>
        <v>2410000</v>
      </c>
      <c r="O37" s="186">
        <f>'3c. HivatalBgy'!O38+'3b. HivatalVv'!O38</f>
        <v>14409000</v>
      </c>
      <c r="P37" s="186">
        <f>'3c. HivatalBgy'!P38+'3b. HivatalVv'!P38</f>
        <v>14409000</v>
      </c>
      <c r="Q37" s="203"/>
      <c r="R37" s="203"/>
    </row>
    <row r="38" spans="1:18" ht="17.100000000000001" customHeight="1" x14ac:dyDescent="0.3">
      <c r="A38" s="188" t="s">
        <v>150</v>
      </c>
      <c r="B38" s="188" t="s">
        <v>151</v>
      </c>
      <c r="C38" s="186">
        <f>'3c. HivatalBgy'!C39+'3b. HivatalVv'!C39</f>
        <v>2200000</v>
      </c>
      <c r="D38" s="186">
        <f>'3c. HivatalBgy'!D39+'3b. HivatalVv'!D39</f>
        <v>1280879</v>
      </c>
      <c r="E38" s="186">
        <f>'3c. HivatalBgy'!E39+'3b. HivatalVv'!E39</f>
        <v>2200000</v>
      </c>
      <c r="F38" s="186">
        <f>'3c. HivatalBgy'!F39+'3b. HivatalVv'!F39</f>
        <v>2200000</v>
      </c>
      <c r="G38" s="203"/>
      <c r="H38" s="203"/>
      <c r="I38" s="186">
        <f>'3c. HivatalBgy'!I39+'3b. HivatalVv'!I39</f>
        <v>0</v>
      </c>
      <c r="J38" s="186">
        <f>'3c. HivatalBgy'!J39+'3b. HivatalVv'!J39</f>
        <v>2200000</v>
      </c>
      <c r="K38" s="186">
        <f>'3c. HivatalBgy'!K39+'3b. HivatalVv'!K39</f>
        <v>2200000</v>
      </c>
      <c r="L38" s="203"/>
      <c r="M38" s="203"/>
      <c r="N38" s="186">
        <f>'3c. HivatalBgy'!N39+'3b. HivatalVv'!N39</f>
        <v>-10000</v>
      </c>
      <c r="O38" s="186">
        <f>'3c. HivatalBgy'!O39+'3b. HivatalVv'!O39</f>
        <v>2190000</v>
      </c>
      <c r="P38" s="186">
        <f>'3c. HivatalBgy'!P39+'3b. HivatalVv'!P39</f>
        <v>2190000</v>
      </c>
      <c r="Q38" s="203"/>
      <c r="R38" s="203"/>
    </row>
    <row r="39" spans="1:18" ht="17.100000000000001" customHeight="1" x14ac:dyDescent="0.3">
      <c r="A39" s="188" t="s">
        <v>152</v>
      </c>
      <c r="B39" s="188" t="s">
        <v>153</v>
      </c>
      <c r="C39" s="186">
        <f>'3c. HivatalBgy'!C40+'3b. HivatalVv'!C40</f>
        <v>3400000</v>
      </c>
      <c r="D39" s="186">
        <f>'3c. HivatalBgy'!D40+'3b. HivatalVv'!D40</f>
        <v>2423972</v>
      </c>
      <c r="E39" s="186">
        <f>'3c. HivatalBgy'!E40+'3b. HivatalVv'!E40</f>
        <v>4535000</v>
      </c>
      <c r="F39" s="186">
        <f>'3c. HivatalBgy'!F40+'3b. HivatalVv'!F40</f>
        <v>4535000</v>
      </c>
      <c r="G39" s="203"/>
      <c r="H39" s="203"/>
      <c r="I39" s="186">
        <f>'3c. HivatalBgy'!I40+'3b. HivatalVv'!I40</f>
        <v>3000</v>
      </c>
      <c r="J39" s="186">
        <f>'3c. HivatalBgy'!J40+'3b. HivatalVv'!J40</f>
        <v>4538000</v>
      </c>
      <c r="K39" s="186">
        <f>'3c. HivatalBgy'!K40+'3b. HivatalVv'!K40</f>
        <v>4538000</v>
      </c>
      <c r="L39" s="203"/>
      <c r="M39" s="203"/>
      <c r="N39" s="186">
        <f>'3c. HivatalBgy'!N40+'3b. HivatalVv'!N40</f>
        <v>1000000</v>
      </c>
      <c r="O39" s="186">
        <f>'3c. HivatalBgy'!O40+'3b. HivatalVv'!O40</f>
        <v>5538000</v>
      </c>
      <c r="P39" s="186">
        <f>'3c. HivatalBgy'!P40+'3b. HivatalVv'!P40</f>
        <v>5538000</v>
      </c>
      <c r="Q39" s="203"/>
      <c r="R39" s="203"/>
    </row>
    <row r="40" spans="1:18" ht="17.100000000000001" customHeight="1" x14ac:dyDescent="0.3">
      <c r="A40" s="183" t="s">
        <v>166</v>
      </c>
      <c r="B40" s="183" t="s">
        <v>167</v>
      </c>
      <c r="C40" s="186">
        <f>'3c. HivatalBgy'!C41+'3b. HivatalVv'!C41</f>
        <v>0</v>
      </c>
      <c r="D40" s="186">
        <f>'3c. HivatalBgy'!D41+'3b. HivatalVv'!D41</f>
        <v>0</v>
      </c>
      <c r="E40" s="186">
        <f>'3c. HivatalBgy'!E41+'3b. HivatalVv'!E41</f>
        <v>0</v>
      </c>
      <c r="F40" s="186">
        <f>'3c. HivatalBgy'!F41+'3b. HivatalVv'!F41</f>
        <v>0</v>
      </c>
      <c r="G40" s="219"/>
      <c r="H40" s="204"/>
      <c r="I40" s="186">
        <f>'3c. HivatalBgy'!I41+'3b. HivatalVv'!I41</f>
        <v>0</v>
      </c>
      <c r="J40" s="186">
        <f>'3c. HivatalBgy'!J41+'3b. HivatalVv'!J41</f>
        <v>0</v>
      </c>
      <c r="K40" s="186">
        <f>'3c. HivatalBgy'!K41+'3b. HivatalVv'!K41</f>
        <v>0</v>
      </c>
      <c r="L40" s="219"/>
      <c r="M40" s="204"/>
      <c r="N40" s="186">
        <f>'3c. HivatalBgy'!N41+'3b. HivatalVv'!N41</f>
        <v>0</v>
      </c>
      <c r="O40" s="186">
        <f>'3c. HivatalBgy'!O41+'3b. HivatalVv'!O41</f>
        <v>0</v>
      </c>
      <c r="P40" s="186">
        <f>'3c. HivatalBgy'!P41+'3b. HivatalVv'!P41</f>
        <v>0</v>
      </c>
      <c r="Q40" s="219"/>
      <c r="R40" s="204"/>
    </row>
    <row r="41" spans="1:18" ht="17.100000000000001" customHeight="1" x14ac:dyDescent="0.3">
      <c r="A41" s="188" t="s">
        <v>174</v>
      </c>
      <c r="B41" s="188" t="s">
        <v>218</v>
      </c>
      <c r="C41" s="206"/>
      <c r="D41" s="186">
        <f>'3c. HivatalBgy'!D42+'3b. HivatalVv'!D42</f>
        <v>0</v>
      </c>
      <c r="E41" s="186">
        <f>'3c. HivatalBgy'!E42+'3b. HivatalVv'!E42</f>
        <v>0</v>
      </c>
      <c r="F41" s="186">
        <f>'3c. HivatalBgy'!F42+'3b. HivatalVv'!F42</f>
        <v>0</v>
      </c>
      <c r="G41" s="203"/>
      <c r="H41" s="203"/>
      <c r="I41" s="186">
        <f>'3c. HivatalBgy'!I42+'3b. HivatalVv'!I42</f>
        <v>0</v>
      </c>
      <c r="J41" s="186">
        <f>'3c. HivatalBgy'!J42+'3b. HivatalVv'!J42</f>
        <v>0</v>
      </c>
      <c r="K41" s="186">
        <f>'3c. HivatalBgy'!K42+'3b. HivatalVv'!K42</f>
        <v>0</v>
      </c>
      <c r="L41" s="203"/>
      <c r="M41" s="203"/>
      <c r="N41" s="186">
        <f>'3c. HivatalBgy'!N42+'3b. HivatalVv'!N42</f>
        <v>0</v>
      </c>
      <c r="O41" s="186">
        <f>'3c. HivatalBgy'!O42+'3b. HivatalVv'!O42</f>
        <v>0</v>
      </c>
      <c r="P41" s="186">
        <f>'3c. HivatalBgy'!P42+'3b. HivatalVv'!P42</f>
        <v>0</v>
      </c>
      <c r="Q41" s="203"/>
      <c r="R41" s="203"/>
    </row>
    <row r="42" spans="1:18" ht="17.100000000000001" customHeight="1" x14ac:dyDescent="0.3">
      <c r="A42" s="183" t="s">
        <v>219</v>
      </c>
      <c r="B42" s="183" t="s">
        <v>179</v>
      </c>
      <c r="C42" s="201">
        <f>SUM(C43:C46)</f>
        <v>1747520</v>
      </c>
      <c r="D42" s="201">
        <f t="shared" ref="D42:F42" si="10">SUM(D43:D46)</f>
        <v>419000</v>
      </c>
      <c r="E42" s="201">
        <f t="shared" si="10"/>
        <v>1397000</v>
      </c>
      <c r="F42" s="201">
        <f t="shared" si="10"/>
        <v>1397000</v>
      </c>
      <c r="G42" s="201">
        <v>0</v>
      </c>
      <c r="H42" s="201">
        <v>0</v>
      </c>
      <c r="I42" s="201">
        <f t="shared" ref="I42:K42" si="11">SUM(I43:I46)</f>
        <v>0</v>
      </c>
      <c r="J42" s="201">
        <f t="shared" si="11"/>
        <v>1397000</v>
      </c>
      <c r="K42" s="201">
        <f t="shared" si="11"/>
        <v>1397000</v>
      </c>
      <c r="L42" s="201">
        <v>0</v>
      </c>
      <c r="M42" s="201">
        <v>0</v>
      </c>
      <c r="N42" s="201">
        <f t="shared" ref="N42:P42" si="12">SUM(N43:N46)</f>
        <v>1000000</v>
      </c>
      <c r="O42" s="201">
        <f t="shared" si="12"/>
        <v>2397000</v>
      </c>
      <c r="P42" s="201">
        <f t="shared" si="12"/>
        <v>2397000</v>
      </c>
      <c r="Q42" s="201">
        <v>0</v>
      </c>
      <c r="R42" s="201">
        <v>0</v>
      </c>
    </row>
    <row r="43" spans="1:18" ht="17.100000000000001" customHeight="1" x14ac:dyDescent="0.3">
      <c r="A43" s="183" t="s">
        <v>3</v>
      </c>
      <c r="B43" s="23" t="s">
        <v>4</v>
      </c>
      <c r="C43" s="186">
        <f>+'3b. HivatalVv'!C44+'3c. HivatalBgy'!C44</f>
        <v>307000</v>
      </c>
      <c r="D43" s="186">
        <f>+'3b. HivatalVv'!D44+'3c. HivatalBgy'!D44</f>
        <v>33071</v>
      </c>
      <c r="E43" s="186">
        <f>+'3b. HivatalVv'!E44+'3c. HivatalBgy'!E44</f>
        <v>0</v>
      </c>
      <c r="F43" s="186">
        <f>+'3b. HivatalVv'!F44+'3c. HivatalBgy'!F44</f>
        <v>0</v>
      </c>
      <c r="G43" s="201"/>
      <c r="H43" s="201"/>
      <c r="I43" s="186">
        <f>+'3b. HivatalVv'!I44+'3c. HivatalBgy'!I44</f>
        <v>0</v>
      </c>
      <c r="J43" s="186">
        <f>+'3b. HivatalVv'!J44+'3c. HivatalBgy'!J44</f>
        <v>0</v>
      </c>
      <c r="K43" s="186">
        <f>+'3b. HivatalVv'!K44+'3c. HivatalBgy'!K44</f>
        <v>0</v>
      </c>
      <c r="L43" s="201"/>
      <c r="M43" s="201"/>
      <c r="N43" s="186">
        <f>+'3b. HivatalVv'!N44+'3c. HivatalBgy'!N44</f>
        <v>800000</v>
      </c>
      <c r="O43" s="186">
        <f>+'3b. HivatalVv'!O44+'3c. HivatalBgy'!O44</f>
        <v>800000</v>
      </c>
      <c r="P43" s="186">
        <f>+'3b. HivatalVv'!P44+'3c. HivatalBgy'!P44</f>
        <v>800000</v>
      </c>
      <c r="Q43" s="201"/>
      <c r="R43" s="201"/>
    </row>
    <row r="44" spans="1:18" ht="17.100000000000001" customHeight="1" x14ac:dyDescent="0.3">
      <c r="A44" s="183" t="s">
        <v>430</v>
      </c>
      <c r="B44" s="23" t="s">
        <v>431</v>
      </c>
      <c r="C44" s="186">
        <f>+'3b. HivatalVv'!C45+'3c. HivatalBgy'!C45</f>
        <v>769000</v>
      </c>
      <c r="D44" s="186">
        <f>+'3b. HivatalVv'!D45+'3c. HivatalBgy'!D45</f>
        <v>254330</v>
      </c>
      <c r="E44" s="186">
        <f>+'3b. HivatalVv'!E45+'3c. HivatalBgy'!E45</f>
        <v>800000</v>
      </c>
      <c r="F44" s="186">
        <f>+'3b. HivatalVv'!F45+'3c. HivatalBgy'!F45</f>
        <v>800000</v>
      </c>
      <c r="G44" s="201"/>
      <c r="H44" s="201"/>
      <c r="I44" s="186">
        <f>+'3b. HivatalVv'!I45+'3c. HivatalBgy'!I45</f>
        <v>0</v>
      </c>
      <c r="J44" s="186">
        <f>+'3b. HivatalVv'!J45+'3c. HivatalBgy'!J45</f>
        <v>800000</v>
      </c>
      <c r="K44" s="186">
        <f>+'3b. HivatalVv'!K45+'3c. HivatalBgy'!K45</f>
        <v>800000</v>
      </c>
      <c r="L44" s="201"/>
      <c r="M44" s="201"/>
      <c r="N44" s="186">
        <f>+'3b. HivatalVv'!N45+'3c. HivatalBgy'!N45</f>
        <v>0</v>
      </c>
      <c r="O44" s="186">
        <f>+'3b. HivatalVv'!O45+'3c. HivatalBgy'!O45</f>
        <v>800000</v>
      </c>
      <c r="P44" s="186">
        <f>+'3b. HivatalVv'!P45+'3c. HivatalBgy'!P45</f>
        <v>800000</v>
      </c>
      <c r="Q44" s="201"/>
      <c r="R44" s="201"/>
    </row>
    <row r="45" spans="1:18" ht="17.100000000000001" customHeight="1" x14ac:dyDescent="0.3">
      <c r="A45" s="188" t="s">
        <v>182</v>
      </c>
      <c r="B45" s="188" t="s">
        <v>220</v>
      </c>
      <c r="C45" s="186">
        <f>'3c. HivatalBgy'!C46+'3b. HivatalVv'!C46</f>
        <v>300000</v>
      </c>
      <c r="D45" s="186">
        <f>'3c. HivatalBgy'!D46+'3b. HivatalVv'!D46</f>
        <v>54000</v>
      </c>
      <c r="E45" s="186">
        <f>'3c. HivatalBgy'!E46+'3b. HivatalVv'!E46</f>
        <v>300000</v>
      </c>
      <c r="F45" s="186">
        <f>'3c. HivatalBgy'!F46+'3b. HivatalVv'!F46</f>
        <v>300000</v>
      </c>
      <c r="G45" s="203"/>
      <c r="H45" s="203"/>
      <c r="I45" s="186">
        <f>'3c. HivatalBgy'!I46+'3b. HivatalVv'!I46</f>
        <v>0</v>
      </c>
      <c r="J45" s="186">
        <f>'3c. HivatalBgy'!J46+'3b. HivatalVv'!J46</f>
        <v>300000</v>
      </c>
      <c r="K45" s="186">
        <f>'3c. HivatalBgy'!K46+'3b. HivatalVv'!K46</f>
        <v>300000</v>
      </c>
      <c r="L45" s="203"/>
      <c r="M45" s="203"/>
      <c r="N45" s="186">
        <f>'3c. HivatalBgy'!N46+'3b. HivatalVv'!N46</f>
        <v>0</v>
      </c>
      <c r="O45" s="186">
        <f>'3c. HivatalBgy'!O46+'3b. HivatalVv'!O46</f>
        <v>300000</v>
      </c>
      <c r="P45" s="186">
        <f>'3c. HivatalBgy'!P46+'3b. HivatalVv'!P46</f>
        <v>300000</v>
      </c>
      <c r="Q45" s="203"/>
      <c r="R45" s="203"/>
    </row>
    <row r="46" spans="1:18" ht="17.100000000000001" customHeight="1" x14ac:dyDescent="0.3">
      <c r="A46" s="188" t="s">
        <v>184</v>
      </c>
      <c r="B46" s="188" t="s">
        <v>221</v>
      </c>
      <c r="C46" s="186">
        <f>'3c. HivatalBgy'!C47+'3b. HivatalVv'!C47</f>
        <v>371520</v>
      </c>
      <c r="D46" s="186">
        <f>'3c. HivatalBgy'!D47+'3b. HivatalVv'!D47</f>
        <v>77599</v>
      </c>
      <c r="E46" s="186">
        <f>'3c. HivatalBgy'!E47+'3b. HivatalVv'!E47</f>
        <v>297000</v>
      </c>
      <c r="F46" s="186">
        <f>'3c. HivatalBgy'!F47+'3b. HivatalVv'!F47</f>
        <v>297000</v>
      </c>
      <c r="G46" s="203"/>
      <c r="H46" s="203"/>
      <c r="I46" s="186">
        <f>'3c. HivatalBgy'!I47+'3b. HivatalVv'!I47</f>
        <v>0</v>
      </c>
      <c r="J46" s="186">
        <f>'3c. HivatalBgy'!J47+'3b. HivatalVv'!J47</f>
        <v>297000</v>
      </c>
      <c r="K46" s="186">
        <f>'3c. HivatalBgy'!K47+'3b. HivatalVv'!K47</f>
        <v>297000</v>
      </c>
      <c r="L46" s="203"/>
      <c r="M46" s="203"/>
      <c r="N46" s="186">
        <f>'3c. HivatalBgy'!N47+'3b. HivatalVv'!N47</f>
        <v>200000</v>
      </c>
      <c r="O46" s="186">
        <f>'3c. HivatalBgy'!O47+'3b. HivatalVv'!O47</f>
        <v>497000</v>
      </c>
      <c r="P46" s="186">
        <f>'3c. HivatalBgy'!P47+'3b. HivatalVv'!P47</f>
        <v>497000</v>
      </c>
      <c r="Q46" s="203"/>
      <c r="R46" s="203"/>
    </row>
    <row r="47" spans="1:18" ht="33" customHeight="1" x14ac:dyDescent="0.25">
      <c r="A47" s="315" t="s">
        <v>397</v>
      </c>
      <c r="B47" s="316"/>
      <c r="C47" s="207">
        <f t="shared" ref="C47:H47" si="13">C30+C33+C34+C42+C40</f>
        <v>119227000</v>
      </c>
      <c r="D47" s="207">
        <f t="shared" si="13"/>
        <v>100660598</v>
      </c>
      <c r="E47" s="192">
        <f t="shared" si="13"/>
        <v>134883000</v>
      </c>
      <c r="F47" s="192">
        <f t="shared" si="13"/>
        <v>134883000</v>
      </c>
      <c r="G47" s="207">
        <f t="shared" si="13"/>
        <v>0</v>
      </c>
      <c r="H47" s="192">
        <f t="shared" si="13"/>
        <v>0</v>
      </c>
      <c r="I47" s="192">
        <f t="shared" ref="I47:M47" si="14">I30+I33+I34+I42+I40</f>
        <v>4072000</v>
      </c>
      <c r="J47" s="192">
        <f t="shared" si="14"/>
        <v>138955000</v>
      </c>
      <c r="K47" s="192">
        <f t="shared" si="14"/>
        <v>138955000</v>
      </c>
      <c r="L47" s="207">
        <f t="shared" si="14"/>
        <v>0</v>
      </c>
      <c r="M47" s="192">
        <f t="shared" si="14"/>
        <v>0</v>
      </c>
      <c r="N47" s="192">
        <f t="shared" ref="N47:R47" si="15">N30+N33+N34+N42+N40</f>
        <v>6000000</v>
      </c>
      <c r="O47" s="192">
        <f t="shared" si="15"/>
        <v>144955000</v>
      </c>
      <c r="P47" s="192">
        <f t="shared" si="15"/>
        <v>144955000</v>
      </c>
      <c r="Q47" s="207">
        <f t="shared" si="15"/>
        <v>0</v>
      </c>
      <c r="R47" s="192">
        <f t="shared" si="15"/>
        <v>0</v>
      </c>
    </row>
    <row r="48" spans="1:18" ht="17.100000000000001" customHeight="1" x14ac:dyDescent="0.3">
      <c r="A48" s="193"/>
      <c r="B48" s="193"/>
      <c r="C48" s="193"/>
      <c r="D48" s="208"/>
      <c r="E48" s="208"/>
      <c r="F48" s="209"/>
      <c r="G48" s="209"/>
      <c r="H48" s="209"/>
      <c r="I48" s="208"/>
      <c r="J48" s="208"/>
      <c r="K48" s="209"/>
      <c r="L48" s="209"/>
      <c r="M48" s="209"/>
      <c r="N48" s="208"/>
      <c r="O48" s="208"/>
      <c r="P48" s="209"/>
      <c r="Q48" s="209"/>
      <c r="R48" s="209"/>
    </row>
    <row r="49" spans="1:18" ht="17.100000000000001" customHeight="1" x14ac:dyDescent="0.3">
      <c r="A49" s="210"/>
      <c r="B49" s="211"/>
      <c r="C49" s="211"/>
      <c r="D49" s="211"/>
      <c r="E49" s="210"/>
      <c r="F49" s="209"/>
      <c r="G49" s="209"/>
      <c r="H49" s="209"/>
      <c r="I49" s="210"/>
      <c r="J49" s="210"/>
      <c r="K49" s="209"/>
      <c r="L49" s="209"/>
      <c r="M49" s="209"/>
      <c r="N49" s="210"/>
      <c r="O49" s="210"/>
      <c r="P49" s="209"/>
      <c r="Q49" s="209"/>
      <c r="R49" s="209"/>
    </row>
    <row r="50" spans="1:18" ht="17.100000000000001" customHeight="1" x14ac:dyDescent="0.3">
      <c r="A50" s="319" t="s">
        <v>222</v>
      </c>
      <c r="B50" s="320"/>
      <c r="C50" s="320"/>
      <c r="D50" s="321"/>
      <c r="E50" s="212">
        <v>19</v>
      </c>
      <c r="F50" s="209"/>
      <c r="G50" s="209"/>
      <c r="H50" s="209"/>
      <c r="I50" s="212">
        <v>19</v>
      </c>
      <c r="J50" s="212">
        <v>19</v>
      </c>
      <c r="K50" s="209"/>
      <c r="L50" s="209"/>
      <c r="M50" s="209"/>
      <c r="N50" s="212">
        <v>19</v>
      </c>
      <c r="O50" s="212">
        <v>19</v>
      </c>
      <c r="P50" s="209"/>
      <c r="Q50" s="209"/>
      <c r="R50" s="209"/>
    </row>
    <row r="51" spans="1:18" ht="17.100000000000001" customHeight="1" x14ac:dyDescent="0.3">
      <c r="A51" s="319" t="s">
        <v>223</v>
      </c>
      <c r="B51" s="320"/>
      <c r="C51" s="320"/>
      <c r="D51" s="321"/>
      <c r="E51" s="212">
        <v>0</v>
      </c>
      <c r="F51" s="209"/>
      <c r="G51" s="209"/>
      <c r="H51" s="209"/>
      <c r="I51" s="212">
        <v>0</v>
      </c>
      <c r="J51" s="212">
        <v>0</v>
      </c>
      <c r="K51" s="209"/>
      <c r="L51" s="209"/>
      <c r="M51" s="209"/>
      <c r="N51" s="212">
        <v>0</v>
      </c>
      <c r="O51" s="212">
        <v>0</v>
      </c>
      <c r="P51" s="209"/>
      <c r="Q51" s="209"/>
      <c r="R51" s="209"/>
    </row>
    <row r="52" spans="1:18" ht="17.100000000000001" customHeight="1" x14ac:dyDescent="0.3">
      <c r="A52" s="210"/>
      <c r="B52" s="210"/>
      <c r="C52" s="210"/>
      <c r="D52" s="210"/>
      <c r="E52" s="210"/>
      <c r="F52" s="209"/>
      <c r="G52" s="209"/>
      <c r="H52" s="209"/>
      <c r="I52" s="210"/>
      <c r="J52" s="210"/>
      <c r="K52" s="209"/>
      <c r="L52" s="209"/>
      <c r="M52" s="209"/>
      <c r="N52" s="210"/>
      <c r="O52" s="210"/>
      <c r="P52" s="209"/>
      <c r="Q52" s="209"/>
      <c r="R52" s="209"/>
    </row>
    <row r="53" spans="1:18" x14ac:dyDescent="0.25">
      <c r="F53" s="214"/>
      <c r="G53" s="214"/>
      <c r="H53" s="214"/>
      <c r="K53" s="214"/>
      <c r="L53" s="214"/>
      <c r="M53" s="214"/>
      <c r="P53" s="214"/>
      <c r="Q53" s="214"/>
      <c r="R53" s="214"/>
    </row>
  </sheetData>
  <mergeCells count="36">
    <mergeCell ref="Q5:R5"/>
    <mergeCell ref="N6:N7"/>
    <mergeCell ref="O6:O7"/>
    <mergeCell ref="P6:R6"/>
    <mergeCell ref="N28:N29"/>
    <mergeCell ref="O28:O29"/>
    <mergeCell ref="P28:R28"/>
    <mergeCell ref="A2:H2"/>
    <mergeCell ref="A50:D50"/>
    <mergeCell ref="A51:D51"/>
    <mergeCell ref="F28:H28"/>
    <mergeCell ref="A5:B5"/>
    <mergeCell ref="D5:E5"/>
    <mergeCell ref="G5:H5"/>
    <mergeCell ref="C6:C7"/>
    <mergeCell ref="D6:D7"/>
    <mergeCell ref="E28:E29"/>
    <mergeCell ref="A6:A7"/>
    <mergeCell ref="A28:A29"/>
    <mergeCell ref="B28:B29"/>
    <mergeCell ref="C28:C29"/>
    <mergeCell ref="D28:D29"/>
    <mergeCell ref="E6:E7"/>
    <mergeCell ref="A3:H3"/>
    <mergeCell ref="F6:H6"/>
    <mergeCell ref="A25:B25"/>
    <mergeCell ref="B6:B7"/>
    <mergeCell ref="A47:B47"/>
    <mergeCell ref="A4:B4"/>
    <mergeCell ref="I6:I7"/>
    <mergeCell ref="I28:I29"/>
    <mergeCell ref="L5:M5"/>
    <mergeCell ref="J6:J7"/>
    <mergeCell ref="K6:M6"/>
    <mergeCell ref="J28:J29"/>
    <mergeCell ref="K28:M28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R54"/>
  <sheetViews>
    <sheetView zoomScaleNormal="100" workbookViewId="0">
      <selection activeCell="A6" sqref="A6:B6"/>
    </sheetView>
  </sheetViews>
  <sheetFormatPr defaultColWidth="8.5546875" defaultRowHeight="13.2" x14ac:dyDescent="0.25"/>
  <cols>
    <col min="1" max="1" width="6.21875" style="213" customWidth="1"/>
    <col min="2" max="2" width="50.5546875" style="213" customWidth="1"/>
    <col min="3" max="4" width="11.5546875" style="213" hidden="1" customWidth="1"/>
    <col min="5" max="5" width="11.5546875" style="213" customWidth="1"/>
    <col min="6" max="6" width="13.44140625" style="213" customWidth="1"/>
    <col min="7" max="10" width="11.5546875" style="213" customWidth="1"/>
    <col min="11" max="11" width="13.44140625" style="213" customWidth="1"/>
    <col min="12" max="15" width="11.5546875" style="213" customWidth="1"/>
    <col min="16" max="16" width="13.44140625" style="213" customWidth="1"/>
    <col min="17" max="18" width="11.5546875" style="213" customWidth="1"/>
    <col min="19" max="16384" width="8.5546875" style="214"/>
  </cols>
  <sheetData>
    <row r="2" spans="1:18" ht="18" x14ac:dyDescent="0.35">
      <c r="A2" s="317" t="s">
        <v>353</v>
      </c>
      <c r="B2" s="318"/>
      <c r="C2" s="318"/>
      <c r="D2" s="318"/>
      <c r="E2" s="318"/>
      <c r="F2" s="318"/>
      <c r="G2" s="318"/>
      <c r="H2" s="318"/>
      <c r="I2" s="214"/>
      <c r="J2" s="214"/>
      <c r="K2" s="214"/>
      <c r="L2" s="214"/>
      <c r="M2" s="214"/>
      <c r="N2" s="214"/>
      <c r="O2" s="214"/>
      <c r="P2" s="214"/>
      <c r="Q2" s="214"/>
      <c r="R2" s="214"/>
    </row>
    <row r="3" spans="1:18" s="217" customFormat="1" ht="17.100000000000001" customHeight="1" x14ac:dyDescent="0.25">
      <c r="A3" s="314">
        <v>2022</v>
      </c>
      <c r="B3" s="314"/>
      <c r="C3" s="314"/>
      <c r="D3" s="314"/>
      <c r="E3" s="314"/>
      <c r="F3" s="314"/>
      <c r="G3" s="314"/>
      <c r="H3" s="314"/>
    </row>
    <row r="4" spans="1:18" s="217" customFormat="1" ht="17.100000000000001" customHeight="1" x14ac:dyDescent="0.25">
      <c r="A4" s="314" t="s">
        <v>360</v>
      </c>
      <c r="B4" s="327"/>
      <c r="C4" s="327"/>
      <c r="D4" s="327"/>
      <c r="E4" s="327"/>
      <c r="F4" s="327"/>
      <c r="G4" s="327"/>
      <c r="H4" s="327"/>
    </row>
    <row r="5" spans="1:18" s="217" customFormat="1" ht="17.100000000000001" customHeight="1" x14ac:dyDescent="0.3">
      <c r="A5" s="303" t="s">
        <v>569</v>
      </c>
      <c r="B5" s="303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</row>
    <row r="6" spans="1:18" ht="17.100000000000001" customHeight="1" x14ac:dyDescent="0.3">
      <c r="A6" s="303" t="s">
        <v>557</v>
      </c>
      <c r="B6" s="303"/>
      <c r="C6" s="182"/>
      <c r="D6" s="313"/>
      <c r="E6" s="313"/>
      <c r="F6" s="182"/>
      <c r="G6" s="313" t="s">
        <v>15</v>
      </c>
      <c r="H6" s="313"/>
      <c r="I6" s="214"/>
      <c r="J6" s="214"/>
      <c r="K6" s="182"/>
      <c r="L6" s="313" t="s">
        <v>15</v>
      </c>
      <c r="M6" s="313"/>
      <c r="N6" s="214"/>
      <c r="O6" s="214"/>
      <c r="P6" s="182"/>
      <c r="Q6" s="313" t="s">
        <v>15</v>
      </c>
      <c r="R6" s="313"/>
    </row>
    <row r="7" spans="1:18" ht="17.100000000000001" customHeight="1" x14ac:dyDescent="0.25">
      <c r="A7" s="312" t="s">
        <v>19</v>
      </c>
      <c r="B7" s="312" t="s">
        <v>206</v>
      </c>
      <c r="C7" s="312" t="s">
        <v>482</v>
      </c>
      <c r="D7" s="312" t="s">
        <v>483</v>
      </c>
      <c r="E7" s="312" t="s">
        <v>481</v>
      </c>
      <c r="F7" s="312" t="s">
        <v>480</v>
      </c>
      <c r="G7" s="312"/>
      <c r="H7" s="312"/>
      <c r="I7" s="312" t="s">
        <v>511</v>
      </c>
      <c r="J7" s="312" t="s">
        <v>530</v>
      </c>
      <c r="K7" s="312" t="s">
        <v>512</v>
      </c>
      <c r="L7" s="312"/>
      <c r="M7" s="312"/>
      <c r="N7" s="312" t="s">
        <v>531</v>
      </c>
      <c r="O7" s="312" t="s">
        <v>541</v>
      </c>
      <c r="P7" s="312" t="s">
        <v>532</v>
      </c>
      <c r="Q7" s="312"/>
      <c r="R7" s="312"/>
    </row>
    <row r="8" spans="1:18" ht="41.1" customHeight="1" x14ac:dyDescent="0.25">
      <c r="A8" s="312"/>
      <c r="B8" s="312"/>
      <c r="C8" s="312"/>
      <c r="D8" s="312"/>
      <c r="E8" s="312"/>
      <c r="F8" s="240" t="s">
        <v>204</v>
      </c>
      <c r="G8" s="240" t="s">
        <v>205</v>
      </c>
      <c r="H8" s="240" t="s">
        <v>359</v>
      </c>
      <c r="I8" s="312"/>
      <c r="J8" s="312"/>
      <c r="K8" s="240" t="s">
        <v>204</v>
      </c>
      <c r="L8" s="240" t="s">
        <v>205</v>
      </c>
      <c r="M8" s="240" t="s">
        <v>359</v>
      </c>
      <c r="N8" s="312"/>
      <c r="O8" s="312"/>
      <c r="P8" s="240" t="s">
        <v>204</v>
      </c>
      <c r="Q8" s="240" t="s">
        <v>205</v>
      </c>
      <c r="R8" s="240" t="s">
        <v>359</v>
      </c>
    </row>
    <row r="9" spans="1:18" s="220" customFormat="1" ht="18" customHeight="1" x14ac:dyDescent="0.3">
      <c r="A9" s="183" t="s">
        <v>23</v>
      </c>
      <c r="B9" s="183" t="s">
        <v>207</v>
      </c>
      <c r="C9" s="184">
        <f t="shared" ref="C9:R9" si="0">C10</f>
        <v>1300000</v>
      </c>
      <c r="D9" s="184">
        <f t="shared" si="0"/>
        <v>1300000</v>
      </c>
      <c r="E9" s="184">
        <f t="shared" si="0"/>
        <v>1889000</v>
      </c>
      <c r="F9" s="184">
        <f>E9</f>
        <v>1889000</v>
      </c>
      <c r="G9" s="184">
        <f t="shared" si="0"/>
        <v>0</v>
      </c>
      <c r="H9" s="184">
        <f t="shared" si="0"/>
        <v>0</v>
      </c>
      <c r="I9" s="184">
        <f t="shared" si="0"/>
        <v>4072000</v>
      </c>
      <c r="J9" s="184">
        <f>E9+I9</f>
        <v>5961000</v>
      </c>
      <c r="K9" s="184">
        <f>J9</f>
        <v>5961000</v>
      </c>
      <c r="L9" s="184">
        <f t="shared" si="0"/>
        <v>0</v>
      </c>
      <c r="M9" s="184">
        <f t="shared" si="0"/>
        <v>0</v>
      </c>
      <c r="N9" s="184">
        <f t="shared" si="0"/>
        <v>0</v>
      </c>
      <c r="O9" s="184">
        <f>J9+N9</f>
        <v>5961000</v>
      </c>
      <c r="P9" s="184">
        <f>O9</f>
        <v>5961000</v>
      </c>
      <c r="Q9" s="184">
        <f t="shared" si="0"/>
        <v>0</v>
      </c>
      <c r="R9" s="184">
        <f t="shared" si="0"/>
        <v>0</v>
      </c>
    </row>
    <row r="10" spans="1:18" s="220" customFormat="1" ht="16.5" customHeight="1" x14ac:dyDescent="0.3">
      <c r="A10" s="185" t="s">
        <v>37</v>
      </c>
      <c r="B10" s="185" t="s">
        <v>208</v>
      </c>
      <c r="C10" s="186">
        <v>1300000</v>
      </c>
      <c r="D10" s="186">
        <v>1300000</v>
      </c>
      <c r="E10" s="186">
        <v>1889000</v>
      </c>
      <c r="F10" s="186">
        <f t="shared" ref="F10:F25" si="1">E10</f>
        <v>1889000</v>
      </c>
      <c r="G10" s="218"/>
      <c r="H10" s="218"/>
      <c r="I10" s="186">
        <v>4072000</v>
      </c>
      <c r="J10" s="186">
        <f t="shared" ref="J10:J26" si="2">E10+I10</f>
        <v>5961000</v>
      </c>
      <c r="K10" s="186">
        <f t="shared" ref="K10:K26" si="3">J10</f>
        <v>5961000</v>
      </c>
      <c r="L10" s="218"/>
      <c r="M10" s="218"/>
      <c r="N10" s="186"/>
      <c r="O10" s="186">
        <f t="shared" ref="O10:O26" si="4">J10+N10</f>
        <v>5961000</v>
      </c>
      <c r="P10" s="186">
        <f t="shared" ref="P10:P26" si="5">O10</f>
        <v>5961000</v>
      </c>
      <c r="Q10" s="218"/>
      <c r="R10" s="218"/>
    </row>
    <row r="11" spans="1:18" ht="17.100000000000001" customHeight="1" x14ac:dyDescent="0.3">
      <c r="A11" s="183" t="s">
        <v>45</v>
      </c>
      <c r="B11" s="183" t="s">
        <v>207</v>
      </c>
      <c r="C11" s="184">
        <f>C12</f>
        <v>750000</v>
      </c>
      <c r="D11" s="184">
        <f>D12</f>
        <v>830000</v>
      </c>
      <c r="E11" s="184">
        <f>E12</f>
        <v>750000</v>
      </c>
      <c r="F11" s="184">
        <f t="shared" si="1"/>
        <v>750000</v>
      </c>
      <c r="G11" s="184">
        <v>0</v>
      </c>
      <c r="H11" s="184">
        <v>0</v>
      </c>
      <c r="I11" s="184">
        <f>I12</f>
        <v>0</v>
      </c>
      <c r="J11" s="184">
        <f t="shared" si="2"/>
        <v>750000</v>
      </c>
      <c r="K11" s="184">
        <f t="shared" si="3"/>
        <v>750000</v>
      </c>
      <c r="L11" s="184">
        <v>0</v>
      </c>
      <c r="M11" s="184">
        <v>0</v>
      </c>
      <c r="N11" s="184">
        <f>N12</f>
        <v>0</v>
      </c>
      <c r="O11" s="184">
        <f t="shared" si="4"/>
        <v>750000</v>
      </c>
      <c r="P11" s="184">
        <f t="shared" si="5"/>
        <v>750000</v>
      </c>
      <c r="Q11" s="184">
        <v>0</v>
      </c>
      <c r="R11" s="184">
        <v>0</v>
      </c>
    </row>
    <row r="12" spans="1:18" ht="17.100000000000001" customHeight="1" x14ac:dyDescent="0.3">
      <c r="A12" s="185" t="s">
        <v>53</v>
      </c>
      <c r="B12" s="185" t="s">
        <v>54</v>
      </c>
      <c r="C12" s="186">
        <v>750000</v>
      </c>
      <c r="D12" s="186">
        <v>830000</v>
      </c>
      <c r="E12" s="186">
        <v>750000</v>
      </c>
      <c r="F12" s="186">
        <f t="shared" si="1"/>
        <v>750000</v>
      </c>
      <c r="G12" s="186"/>
      <c r="H12" s="186"/>
      <c r="I12" s="186"/>
      <c r="J12" s="186">
        <f t="shared" si="2"/>
        <v>750000</v>
      </c>
      <c r="K12" s="186">
        <f t="shared" si="3"/>
        <v>750000</v>
      </c>
      <c r="L12" s="186"/>
      <c r="M12" s="186"/>
      <c r="N12" s="186"/>
      <c r="O12" s="186">
        <f t="shared" si="4"/>
        <v>750000</v>
      </c>
      <c r="P12" s="186">
        <f t="shared" si="5"/>
        <v>750000</v>
      </c>
      <c r="Q12" s="186"/>
      <c r="R12" s="186"/>
    </row>
    <row r="13" spans="1:18" ht="17.100000000000001" customHeight="1" x14ac:dyDescent="0.3">
      <c r="A13" s="183" t="s">
        <v>55</v>
      </c>
      <c r="B13" s="183" t="s">
        <v>56</v>
      </c>
      <c r="C13" s="187">
        <f>SUM(C14:C19)</f>
        <v>156000</v>
      </c>
      <c r="D13" s="187">
        <f>SUM(D14:D19)</f>
        <v>5565</v>
      </c>
      <c r="E13" s="184">
        <f>SUM(E14:E19)</f>
        <v>156000</v>
      </c>
      <c r="F13" s="184">
        <f t="shared" si="1"/>
        <v>156000</v>
      </c>
      <c r="G13" s="187">
        <v>0</v>
      </c>
      <c r="H13" s="184">
        <v>0</v>
      </c>
      <c r="I13" s="184">
        <f>SUM(I14:I19)</f>
        <v>0</v>
      </c>
      <c r="J13" s="184">
        <f t="shared" si="2"/>
        <v>156000</v>
      </c>
      <c r="K13" s="184">
        <f t="shared" si="3"/>
        <v>156000</v>
      </c>
      <c r="L13" s="187">
        <v>0</v>
      </c>
      <c r="M13" s="184">
        <v>0</v>
      </c>
      <c r="N13" s="184">
        <f>SUM(N14:N19)</f>
        <v>0</v>
      </c>
      <c r="O13" s="184">
        <f t="shared" si="4"/>
        <v>156000</v>
      </c>
      <c r="P13" s="184">
        <f t="shared" si="5"/>
        <v>156000</v>
      </c>
      <c r="Q13" s="187">
        <v>0</v>
      </c>
      <c r="R13" s="184">
        <v>0</v>
      </c>
    </row>
    <row r="14" spans="1:18" ht="17.100000000000001" customHeight="1" x14ac:dyDescent="0.3">
      <c r="A14" s="188" t="s">
        <v>57</v>
      </c>
      <c r="B14" s="188" t="s">
        <v>58</v>
      </c>
      <c r="C14" s="189"/>
      <c r="D14" s="186"/>
      <c r="E14" s="186"/>
      <c r="F14" s="186">
        <f t="shared" si="1"/>
        <v>0</v>
      </c>
      <c r="G14" s="186"/>
      <c r="H14" s="186"/>
      <c r="I14" s="186"/>
      <c r="J14" s="186">
        <f t="shared" si="2"/>
        <v>0</v>
      </c>
      <c r="K14" s="186">
        <f t="shared" si="3"/>
        <v>0</v>
      </c>
      <c r="L14" s="186"/>
      <c r="M14" s="186"/>
      <c r="N14" s="186"/>
      <c r="O14" s="186">
        <f t="shared" si="4"/>
        <v>0</v>
      </c>
      <c r="P14" s="186">
        <f t="shared" si="5"/>
        <v>0</v>
      </c>
      <c r="Q14" s="186"/>
      <c r="R14" s="186"/>
    </row>
    <row r="15" spans="1:18" ht="17.100000000000001" customHeight="1" x14ac:dyDescent="0.3">
      <c r="A15" s="188" t="s">
        <v>209</v>
      </c>
      <c r="B15" s="188" t="s">
        <v>60</v>
      </c>
      <c r="C15" s="189">
        <v>150000</v>
      </c>
      <c r="D15" s="186"/>
      <c r="E15" s="186">
        <v>150000</v>
      </c>
      <c r="F15" s="186">
        <f t="shared" si="1"/>
        <v>150000</v>
      </c>
      <c r="G15" s="186"/>
      <c r="H15" s="186"/>
      <c r="I15" s="186"/>
      <c r="J15" s="186">
        <f t="shared" si="2"/>
        <v>150000</v>
      </c>
      <c r="K15" s="186">
        <f t="shared" si="3"/>
        <v>150000</v>
      </c>
      <c r="L15" s="186"/>
      <c r="M15" s="186"/>
      <c r="N15" s="186"/>
      <c r="O15" s="186">
        <f t="shared" si="4"/>
        <v>150000</v>
      </c>
      <c r="P15" s="186">
        <f t="shared" si="5"/>
        <v>150000</v>
      </c>
      <c r="Q15" s="186"/>
      <c r="R15" s="186"/>
    </row>
    <row r="16" spans="1:18" ht="17.100000000000001" customHeight="1" x14ac:dyDescent="0.3">
      <c r="A16" s="188" t="s">
        <v>63</v>
      </c>
      <c r="B16" s="188" t="s">
        <v>210</v>
      </c>
      <c r="C16" s="189"/>
      <c r="D16" s="186"/>
      <c r="E16" s="186"/>
      <c r="F16" s="186">
        <f t="shared" si="1"/>
        <v>0</v>
      </c>
      <c r="G16" s="186"/>
      <c r="H16" s="186"/>
      <c r="I16" s="186"/>
      <c r="J16" s="186">
        <f t="shared" si="2"/>
        <v>0</v>
      </c>
      <c r="K16" s="186">
        <f t="shared" si="3"/>
        <v>0</v>
      </c>
      <c r="L16" s="186"/>
      <c r="M16" s="186"/>
      <c r="N16" s="186"/>
      <c r="O16" s="186">
        <f t="shared" si="4"/>
        <v>0</v>
      </c>
      <c r="P16" s="186">
        <f t="shared" si="5"/>
        <v>0</v>
      </c>
      <c r="Q16" s="186"/>
      <c r="R16" s="186"/>
    </row>
    <row r="17" spans="1:18" ht="17.100000000000001" customHeight="1" x14ac:dyDescent="0.3">
      <c r="A17" s="188" t="s">
        <v>65</v>
      </c>
      <c r="B17" s="188" t="s">
        <v>211</v>
      </c>
      <c r="C17" s="189"/>
      <c r="D17" s="186"/>
      <c r="E17" s="186"/>
      <c r="F17" s="186">
        <f t="shared" si="1"/>
        <v>0</v>
      </c>
      <c r="G17" s="186"/>
      <c r="H17" s="186"/>
      <c r="I17" s="186"/>
      <c r="J17" s="186">
        <f t="shared" si="2"/>
        <v>0</v>
      </c>
      <c r="K17" s="186">
        <f t="shared" si="3"/>
        <v>0</v>
      </c>
      <c r="L17" s="186"/>
      <c r="M17" s="186"/>
      <c r="N17" s="186"/>
      <c r="O17" s="186">
        <f t="shared" si="4"/>
        <v>0</v>
      </c>
      <c r="P17" s="186">
        <f t="shared" si="5"/>
        <v>0</v>
      </c>
      <c r="Q17" s="186"/>
      <c r="R17" s="186"/>
    </row>
    <row r="18" spans="1:18" ht="17.100000000000001" customHeight="1" x14ac:dyDescent="0.3">
      <c r="A18" s="188" t="s">
        <v>67</v>
      </c>
      <c r="B18" s="188" t="s">
        <v>68</v>
      </c>
      <c r="C18" s="186">
        <v>1000</v>
      </c>
      <c r="D18" s="186">
        <v>1</v>
      </c>
      <c r="E18" s="186">
        <v>1000</v>
      </c>
      <c r="F18" s="186">
        <f t="shared" si="1"/>
        <v>1000</v>
      </c>
      <c r="G18" s="186"/>
      <c r="H18" s="186"/>
      <c r="I18" s="186"/>
      <c r="J18" s="186">
        <f t="shared" si="2"/>
        <v>1000</v>
      </c>
      <c r="K18" s="186">
        <f t="shared" si="3"/>
        <v>1000</v>
      </c>
      <c r="L18" s="186"/>
      <c r="M18" s="186"/>
      <c r="N18" s="186"/>
      <c r="O18" s="186">
        <f t="shared" si="4"/>
        <v>1000</v>
      </c>
      <c r="P18" s="186">
        <f t="shared" si="5"/>
        <v>1000</v>
      </c>
      <c r="Q18" s="186"/>
      <c r="R18" s="186"/>
    </row>
    <row r="19" spans="1:18" ht="17.100000000000001" customHeight="1" x14ac:dyDescent="0.3">
      <c r="A19" s="188" t="s">
        <v>71</v>
      </c>
      <c r="B19" s="188" t="s">
        <v>72</v>
      </c>
      <c r="C19" s="186">
        <v>5000</v>
      </c>
      <c r="D19" s="186">
        <v>5564</v>
      </c>
      <c r="E19" s="186">
        <v>5000</v>
      </c>
      <c r="F19" s="186">
        <f t="shared" si="1"/>
        <v>5000</v>
      </c>
      <c r="G19" s="186"/>
      <c r="H19" s="186"/>
      <c r="I19" s="186"/>
      <c r="J19" s="186">
        <f t="shared" si="2"/>
        <v>5000</v>
      </c>
      <c r="K19" s="186">
        <f t="shared" si="3"/>
        <v>5000</v>
      </c>
      <c r="L19" s="186"/>
      <c r="M19" s="186"/>
      <c r="N19" s="186"/>
      <c r="O19" s="186">
        <f t="shared" si="4"/>
        <v>5000</v>
      </c>
      <c r="P19" s="186">
        <f t="shared" si="5"/>
        <v>5000</v>
      </c>
      <c r="Q19" s="186"/>
      <c r="R19" s="186"/>
    </row>
    <row r="20" spans="1:18" ht="17.100000000000001" customHeight="1" x14ac:dyDescent="0.3">
      <c r="A20" s="183" t="s">
        <v>73</v>
      </c>
      <c r="B20" s="183" t="s">
        <v>74</v>
      </c>
      <c r="C20" s="184">
        <f>C21</f>
        <v>0</v>
      </c>
      <c r="D20" s="184">
        <f>D21</f>
        <v>0</v>
      </c>
      <c r="E20" s="184">
        <f>E21</f>
        <v>0</v>
      </c>
      <c r="F20" s="184">
        <f t="shared" si="1"/>
        <v>0</v>
      </c>
      <c r="G20" s="184">
        <v>0</v>
      </c>
      <c r="H20" s="184">
        <v>0</v>
      </c>
      <c r="I20" s="184">
        <f>I21</f>
        <v>0</v>
      </c>
      <c r="J20" s="184">
        <f t="shared" si="2"/>
        <v>0</v>
      </c>
      <c r="K20" s="184">
        <f t="shared" si="3"/>
        <v>0</v>
      </c>
      <c r="L20" s="184">
        <v>0</v>
      </c>
      <c r="M20" s="184">
        <v>0</v>
      </c>
      <c r="N20" s="184">
        <f>N21</f>
        <v>0</v>
      </c>
      <c r="O20" s="184">
        <f t="shared" si="4"/>
        <v>0</v>
      </c>
      <c r="P20" s="184">
        <f t="shared" si="5"/>
        <v>0</v>
      </c>
      <c r="Q20" s="184">
        <v>0</v>
      </c>
      <c r="R20" s="184">
        <v>0</v>
      </c>
    </row>
    <row r="21" spans="1:18" ht="17.100000000000001" customHeight="1" x14ac:dyDescent="0.3">
      <c r="A21" s="185" t="s">
        <v>212</v>
      </c>
      <c r="B21" s="185" t="s">
        <v>213</v>
      </c>
      <c r="C21" s="186"/>
      <c r="D21" s="186"/>
      <c r="E21" s="186"/>
      <c r="F21" s="186">
        <f t="shared" si="1"/>
        <v>0</v>
      </c>
      <c r="G21" s="186"/>
      <c r="H21" s="186"/>
      <c r="I21" s="186"/>
      <c r="J21" s="186">
        <f t="shared" si="2"/>
        <v>0</v>
      </c>
      <c r="K21" s="186">
        <f t="shared" si="3"/>
        <v>0</v>
      </c>
      <c r="L21" s="186"/>
      <c r="M21" s="186"/>
      <c r="N21" s="186"/>
      <c r="O21" s="186">
        <f t="shared" si="4"/>
        <v>0</v>
      </c>
      <c r="P21" s="186">
        <f t="shared" si="5"/>
        <v>0</v>
      </c>
      <c r="Q21" s="186"/>
      <c r="R21" s="186"/>
    </row>
    <row r="22" spans="1:18" ht="17.100000000000001" customHeight="1" x14ac:dyDescent="0.3">
      <c r="A22" s="183" t="s">
        <v>214</v>
      </c>
      <c r="B22" s="183" t="s">
        <v>86</v>
      </c>
      <c r="C22" s="187">
        <f>C11+C13+C20+C9</f>
        <v>2206000</v>
      </c>
      <c r="D22" s="187">
        <f t="shared" ref="D22:F22" si="6">D11+D13+D20+D9</f>
        <v>2135565</v>
      </c>
      <c r="E22" s="187">
        <f t="shared" si="6"/>
        <v>2795000</v>
      </c>
      <c r="F22" s="187">
        <f t="shared" si="6"/>
        <v>2795000</v>
      </c>
      <c r="G22" s="187">
        <v>0</v>
      </c>
      <c r="H22" s="187">
        <f>H11+H13+H20</f>
        <v>0</v>
      </c>
      <c r="I22" s="187">
        <f t="shared" ref="I22" si="7">I11+I13+I20+I9</f>
        <v>4072000</v>
      </c>
      <c r="J22" s="187">
        <f t="shared" si="2"/>
        <v>6867000</v>
      </c>
      <c r="K22" s="187">
        <f t="shared" si="3"/>
        <v>6867000</v>
      </c>
      <c r="L22" s="187">
        <v>0</v>
      </c>
      <c r="M22" s="187">
        <f>M11+M13+M20</f>
        <v>0</v>
      </c>
      <c r="N22" s="187">
        <f t="shared" ref="N22" si="8">N11+N13+N20+N9</f>
        <v>0</v>
      </c>
      <c r="O22" s="187">
        <f t="shared" si="4"/>
        <v>6867000</v>
      </c>
      <c r="P22" s="187">
        <f t="shared" si="5"/>
        <v>6867000</v>
      </c>
      <c r="Q22" s="187">
        <v>0</v>
      </c>
      <c r="R22" s="187">
        <f>R11+R13+R20</f>
        <v>0</v>
      </c>
    </row>
    <row r="23" spans="1:18" ht="17.100000000000001" customHeight="1" x14ac:dyDescent="0.3">
      <c r="A23" s="183" t="s">
        <v>87</v>
      </c>
      <c r="B23" s="183" t="s">
        <v>88</v>
      </c>
      <c r="C23" s="187">
        <f>SUM(C24:C25)</f>
        <v>69929000</v>
      </c>
      <c r="D23" s="187">
        <f t="shared" ref="D23:E23" si="9">SUM(D24:D25)</f>
        <v>68924812</v>
      </c>
      <c r="E23" s="187">
        <f t="shared" si="9"/>
        <v>76463000</v>
      </c>
      <c r="F23" s="187">
        <f t="shared" si="1"/>
        <v>76463000</v>
      </c>
      <c r="G23" s="190">
        <v>0</v>
      </c>
      <c r="H23" s="190">
        <v>0</v>
      </c>
      <c r="I23" s="187">
        <f t="shared" ref="I23" si="10">SUM(I24:I25)</f>
        <v>0</v>
      </c>
      <c r="J23" s="187">
        <f t="shared" si="2"/>
        <v>76463000</v>
      </c>
      <c r="K23" s="187">
        <f t="shared" si="3"/>
        <v>76463000</v>
      </c>
      <c r="L23" s="190">
        <v>0</v>
      </c>
      <c r="M23" s="190">
        <v>0</v>
      </c>
      <c r="N23" s="187">
        <f t="shared" ref="N23" si="11">SUM(N24:N25)</f>
        <v>6000000</v>
      </c>
      <c r="O23" s="187">
        <f t="shared" si="4"/>
        <v>82463000</v>
      </c>
      <c r="P23" s="187">
        <f t="shared" si="5"/>
        <v>82463000</v>
      </c>
      <c r="Q23" s="190">
        <v>0</v>
      </c>
      <c r="R23" s="190">
        <v>0</v>
      </c>
    </row>
    <row r="24" spans="1:18" ht="17.100000000000001" customHeight="1" x14ac:dyDescent="0.3">
      <c r="A24" s="188" t="s">
        <v>93</v>
      </c>
      <c r="B24" s="188" t="s">
        <v>94</v>
      </c>
      <c r="C24" s="189">
        <v>1392000</v>
      </c>
      <c r="D24" s="186">
        <v>1391727</v>
      </c>
      <c r="E24" s="186"/>
      <c r="F24" s="186">
        <f t="shared" si="1"/>
        <v>0</v>
      </c>
      <c r="G24" s="186"/>
      <c r="H24" s="186"/>
      <c r="I24" s="186">
        <v>4596941</v>
      </c>
      <c r="J24" s="186">
        <f t="shared" si="2"/>
        <v>4596941</v>
      </c>
      <c r="K24" s="186">
        <f t="shared" si="3"/>
        <v>4596941</v>
      </c>
      <c r="L24" s="186"/>
      <c r="M24" s="186"/>
      <c r="N24" s="186"/>
      <c r="O24" s="186">
        <f t="shared" si="4"/>
        <v>4596941</v>
      </c>
      <c r="P24" s="186">
        <f t="shared" si="5"/>
        <v>4596941</v>
      </c>
      <c r="Q24" s="186"/>
      <c r="R24" s="186"/>
    </row>
    <row r="25" spans="1:18" ht="17.100000000000001" customHeight="1" x14ac:dyDescent="0.3">
      <c r="A25" s="185" t="s">
        <v>215</v>
      </c>
      <c r="B25" s="185" t="s">
        <v>216</v>
      </c>
      <c r="C25" s="186">
        <v>68537000</v>
      </c>
      <c r="D25" s="186">
        <v>67533085</v>
      </c>
      <c r="E25" s="186">
        <v>76463000</v>
      </c>
      <c r="F25" s="186">
        <f t="shared" si="1"/>
        <v>76463000</v>
      </c>
      <c r="G25" s="186"/>
      <c r="H25" s="186"/>
      <c r="I25" s="186">
        <v>-4596941</v>
      </c>
      <c r="J25" s="186">
        <f t="shared" si="2"/>
        <v>71866059</v>
      </c>
      <c r="K25" s="186">
        <f t="shared" si="3"/>
        <v>71866059</v>
      </c>
      <c r="L25" s="186"/>
      <c r="M25" s="186"/>
      <c r="N25" s="186">
        <f>3000000+3000000</f>
        <v>6000000</v>
      </c>
      <c r="O25" s="186">
        <f t="shared" si="4"/>
        <v>77866059</v>
      </c>
      <c r="P25" s="186">
        <f t="shared" si="5"/>
        <v>77866059</v>
      </c>
      <c r="Q25" s="186"/>
      <c r="R25" s="186"/>
    </row>
    <row r="26" spans="1:18" ht="33" customHeight="1" x14ac:dyDescent="0.25">
      <c r="A26" s="315" t="s">
        <v>396</v>
      </c>
      <c r="B26" s="310"/>
      <c r="C26" s="191">
        <f>C23+C22</f>
        <v>72135000</v>
      </c>
      <c r="D26" s="192">
        <f>D22+D23</f>
        <v>71060377</v>
      </c>
      <c r="E26" s="192">
        <f t="shared" ref="E26:F26" si="12">E22+E23</f>
        <v>79258000</v>
      </c>
      <c r="F26" s="192">
        <f t="shared" si="12"/>
        <v>79258000</v>
      </c>
      <c r="G26" s="192">
        <f>G22+G23</f>
        <v>0</v>
      </c>
      <c r="H26" s="192">
        <f>H22+H23</f>
        <v>0</v>
      </c>
      <c r="I26" s="192">
        <f t="shared" ref="I26" si="13">I22+I23</f>
        <v>4072000</v>
      </c>
      <c r="J26" s="192">
        <f t="shared" si="2"/>
        <v>83330000</v>
      </c>
      <c r="K26" s="192">
        <f t="shared" si="3"/>
        <v>83330000</v>
      </c>
      <c r="L26" s="192">
        <f>L22+L23</f>
        <v>0</v>
      </c>
      <c r="M26" s="192">
        <f>M22+M23</f>
        <v>0</v>
      </c>
      <c r="N26" s="192">
        <f t="shared" ref="N26" si="14">N22+N23</f>
        <v>6000000</v>
      </c>
      <c r="O26" s="192">
        <f t="shared" si="4"/>
        <v>89330000</v>
      </c>
      <c r="P26" s="192">
        <f t="shared" si="5"/>
        <v>89330000</v>
      </c>
      <c r="Q26" s="192">
        <f>Q22+Q23</f>
        <v>0</v>
      </c>
      <c r="R26" s="192">
        <f>R22+R23</f>
        <v>0</v>
      </c>
    </row>
    <row r="27" spans="1:18" ht="17.100000000000001" customHeight="1" x14ac:dyDescent="0.3">
      <c r="A27" s="193"/>
      <c r="B27" s="193"/>
      <c r="C27" s="194"/>
      <c r="D27" s="195"/>
      <c r="E27" s="196"/>
      <c r="F27" s="194"/>
      <c r="G27" s="195"/>
      <c r="H27" s="195"/>
      <c r="I27" s="196"/>
      <c r="J27" s="196"/>
      <c r="K27" s="194"/>
      <c r="L27" s="195"/>
      <c r="M27" s="195"/>
      <c r="N27" s="196"/>
      <c r="O27" s="196"/>
      <c r="P27" s="194"/>
      <c r="Q27" s="195"/>
      <c r="R27" s="195"/>
    </row>
    <row r="28" spans="1:18" ht="17.100000000000001" customHeight="1" x14ac:dyDescent="0.3">
      <c r="A28" s="197"/>
      <c r="B28" s="198"/>
      <c r="C28" s="199"/>
      <c r="D28" s="200"/>
      <c r="E28" s="196"/>
      <c r="F28" s="199"/>
      <c r="G28" s="200"/>
      <c r="H28" s="200"/>
      <c r="I28" s="196"/>
      <c r="J28" s="196"/>
      <c r="K28" s="199"/>
      <c r="L28" s="200"/>
      <c r="M28" s="200"/>
      <c r="N28" s="196"/>
      <c r="O28" s="196"/>
      <c r="P28" s="199"/>
      <c r="Q28" s="200"/>
      <c r="R28" s="200"/>
    </row>
    <row r="29" spans="1:18" ht="17.100000000000001" customHeight="1" x14ac:dyDescent="0.25">
      <c r="A29" s="312" t="str">
        <f>A7</f>
        <v>Rovatszám</v>
      </c>
      <c r="B29" s="312" t="s">
        <v>217</v>
      </c>
      <c r="C29" s="312" t="str">
        <f>C7</f>
        <v>Módosított előirányzat        2021.</v>
      </c>
      <c r="D29" s="312" t="str">
        <f>D7</f>
        <v>Várható teljesítés 2021.</v>
      </c>
      <c r="E29" s="312" t="str">
        <f>E7</f>
        <v>Eredeti előirányzat       2022.</v>
      </c>
      <c r="F29" s="312" t="str">
        <f>F7</f>
        <v>Eredeti előirányzat 2022.</v>
      </c>
      <c r="G29" s="312"/>
      <c r="H29" s="312"/>
      <c r="I29" s="312" t="s">
        <v>511</v>
      </c>
      <c r="J29" s="312" t="s">
        <v>530</v>
      </c>
      <c r="K29" s="312" t="s">
        <v>512</v>
      </c>
      <c r="L29" s="312"/>
      <c r="M29" s="312"/>
      <c r="N29" s="312" t="s">
        <v>531</v>
      </c>
      <c r="O29" s="312" t="s">
        <v>541</v>
      </c>
      <c r="P29" s="312" t="s">
        <v>532</v>
      </c>
      <c r="Q29" s="312"/>
      <c r="R29" s="312"/>
    </row>
    <row r="30" spans="1:18" ht="47.85" customHeight="1" x14ac:dyDescent="0.25">
      <c r="A30" s="312"/>
      <c r="B30" s="312"/>
      <c r="C30" s="312"/>
      <c r="D30" s="312"/>
      <c r="E30" s="312"/>
      <c r="F30" s="240" t="str">
        <f>F8</f>
        <v>Kötelező feladatok</v>
      </c>
      <c r="G30" s="240" t="str">
        <f>G8</f>
        <v>Önként vállalt feladatok</v>
      </c>
      <c r="H30" s="240" t="str">
        <f>H8</f>
        <v>Államigaz-gatási feladatok</v>
      </c>
      <c r="I30" s="312"/>
      <c r="J30" s="312"/>
      <c r="K30" s="240" t="s">
        <v>204</v>
      </c>
      <c r="L30" s="240" t="s">
        <v>205</v>
      </c>
      <c r="M30" s="240" t="s">
        <v>359</v>
      </c>
      <c r="N30" s="312"/>
      <c r="O30" s="312"/>
      <c r="P30" s="240" t="s">
        <v>204</v>
      </c>
      <c r="Q30" s="240" t="s">
        <v>205</v>
      </c>
      <c r="R30" s="240" t="s">
        <v>359</v>
      </c>
    </row>
    <row r="31" spans="1:18" ht="17.100000000000001" customHeight="1" x14ac:dyDescent="0.3">
      <c r="A31" s="183" t="s">
        <v>97</v>
      </c>
      <c r="B31" s="183" t="s">
        <v>98</v>
      </c>
      <c r="C31" s="201">
        <f>SUM(C32:C33)</f>
        <v>42600000</v>
      </c>
      <c r="D31" s="201">
        <f>SUM(D32:D33)</f>
        <v>37216279</v>
      </c>
      <c r="E31" s="202">
        <f>SUM(E32:E33)</f>
        <v>50187000</v>
      </c>
      <c r="F31" s="202">
        <f>E31</f>
        <v>50187000</v>
      </c>
      <c r="G31" s="201">
        <f>SUM(G32:G33)</f>
        <v>0</v>
      </c>
      <c r="H31" s="202">
        <v>0</v>
      </c>
      <c r="I31" s="202">
        <f>SUM(I32:I33)</f>
        <v>3860000</v>
      </c>
      <c r="J31" s="202">
        <f>E31+I31</f>
        <v>54047000</v>
      </c>
      <c r="K31" s="202">
        <f>J31</f>
        <v>54047000</v>
      </c>
      <c r="L31" s="201">
        <f>SUM(L32:L33)</f>
        <v>0</v>
      </c>
      <c r="M31" s="202">
        <v>0</v>
      </c>
      <c r="N31" s="202">
        <f>SUM(N32:N33)</f>
        <v>0</v>
      </c>
      <c r="O31" s="202">
        <f>J31+N31</f>
        <v>54047000</v>
      </c>
      <c r="P31" s="202">
        <f>O31</f>
        <v>54047000</v>
      </c>
      <c r="Q31" s="201">
        <f>SUM(Q32:Q33)</f>
        <v>0</v>
      </c>
      <c r="R31" s="202">
        <v>0</v>
      </c>
    </row>
    <row r="32" spans="1:18" ht="17.100000000000001" customHeight="1" x14ac:dyDescent="0.3">
      <c r="A32" s="188" t="s">
        <v>99</v>
      </c>
      <c r="B32" s="188" t="s">
        <v>100</v>
      </c>
      <c r="C32" s="206">
        <v>41100000</v>
      </c>
      <c r="D32" s="203">
        <v>36727423</v>
      </c>
      <c r="E32" s="203">
        <v>47647000</v>
      </c>
      <c r="F32" s="203">
        <f t="shared" ref="F32:F48" si="15">E32</f>
        <v>47647000</v>
      </c>
      <c r="G32" s="203"/>
      <c r="H32" s="203"/>
      <c r="I32" s="203">
        <f>120000</f>
        <v>120000</v>
      </c>
      <c r="J32" s="203">
        <f t="shared" ref="J32:J48" si="16">E32+I32</f>
        <v>47767000</v>
      </c>
      <c r="K32" s="203">
        <f t="shared" ref="K32:K48" si="17">J32</f>
        <v>47767000</v>
      </c>
      <c r="L32" s="203"/>
      <c r="M32" s="203"/>
      <c r="N32" s="203"/>
      <c r="O32" s="203">
        <f t="shared" ref="O32:O48" si="18">J32+N32</f>
        <v>47767000</v>
      </c>
      <c r="P32" s="203">
        <f t="shared" ref="P32:P48" si="19">O32</f>
        <v>47767000</v>
      </c>
      <c r="Q32" s="203"/>
      <c r="R32" s="203"/>
    </row>
    <row r="33" spans="1:18" ht="17.100000000000001" customHeight="1" x14ac:dyDescent="0.3">
      <c r="A33" s="188" t="s">
        <v>113</v>
      </c>
      <c r="B33" s="188" t="s">
        <v>114</v>
      </c>
      <c r="C33" s="206">
        <v>1500000</v>
      </c>
      <c r="D33" s="203">
        <v>488856</v>
      </c>
      <c r="E33" s="203">
        <v>2540000</v>
      </c>
      <c r="F33" s="203">
        <f t="shared" si="15"/>
        <v>2540000</v>
      </c>
      <c r="G33" s="203"/>
      <c r="H33" s="203"/>
      <c r="I33" s="203">
        <f>-420000+4160000</f>
        <v>3740000</v>
      </c>
      <c r="J33" s="203">
        <f t="shared" si="16"/>
        <v>6280000</v>
      </c>
      <c r="K33" s="203">
        <f t="shared" si="17"/>
        <v>6280000</v>
      </c>
      <c r="L33" s="203"/>
      <c r="M33" s="203"/>
      <c r="N33" s="203"/>
      <c r="O33" s="203">
        <f t="shared" si="18"/>
        <v>6280000</v>
      </c>
      <c r="P33" s="203">
        <f t="shared" si="19"/>
        <v>6280000</v>
      </c>
      <c r="Q33" s="203"/>
      <c r="R33" s="203"/>
    </row>
    <row r="34" spans="1:18" ht="17.100000000000001" customHeight="1" x14ac:dyDescent="0.3">
      <c r="A34" s="183" t="s">
        <v>120</v>
      </c>
      <c r="B34" s="183" t="s">
        <v>121</v>
      </c>
      <c r="C34" s="219">
        <v>6650000</v>
      </c>
      <c r="D34" s="204">
        <v>5799938</v>
      </c>
      <c r="E34" s="204">
        <v>7060000</v>
      </c>
      <c r="F34" s="204">
        <f t="shared" si="15"/>
        <v>7060000</v>
      </c>
      <c r="G34" s="204"/>
      <c r="H34" s="204"/>
      <c r="I34" s="204">
        <f>460000</f>
        <v>460000</v>
      </c>
      <c r="J34" s="204">
        <f t="shared" si="16"/>
        <v>7520000</v>
      </c>
      <c r="K34" s="204">
        <f t="shared" si="17"/>
        <v>7520000</v>
      </c>
      <c r="L34" s="204"/>
      <c r="M34" s="204"/>
      <c r="N34" s="204"/>
      <c r="O34" s="204">
        <f t="shared" si="18"/>
        <v>7520000</v>
      </c>
      <c r="P34" s="204">
        <f t="shared" si="19"/>
        <v>7520000</v>
      </c>
      <c r="Q34" s="204"/>
      <c r="R34" s="204"/>
    </row>
    <row r="35" spans="1:18" ht="17.100000000000001" customHeight="1" x14ac:dyDescent="0.3">
      <c r="A35" s="183" t="s">
        <v>122</v>
      </c>
      <c r="B35" s="183" t="s">
        <v>123</v>
      </c>
      <c r="C35" s="201">
        <f>SUM(C36:C40)</f>
        <v>21264480</v>
      </c>
      <c r="D35" s="205">
        <f>SUM(D36:D40)</f>
        <v>13679094</v>
      </c>
      <c r="E35" s="205">
        <f>SUM(E36:E40)</f>
        <v>20741000</v>
      </c>
      <c r="F35" s="205">
        <f t="shared" si="15"/>
        <v>20741000</v>
      </c>
      <c r="G35" s="205">
        <v>0</v>
      </c>
      <c r="H35" s="205">
        <v>0</v>
      </c>
      <c r="I35" s="205">
        <f>SUM(I36:I40)</f>
        <v>-248000</v>
      </c>
      <c r="J35" s="205">
        <f t="shared" si="16"/>
        <v>20493000</v>
      </c>
      <c r="K35" s="205">
        <f t="shared" si="17"/>
        <v>20493000</v>
      </c>
      <c r="L35" s="205">
        <v>0</v>
      </c>
      <c r="M35" s="205">
        <v>0</v>
      </c>
      <c r="N35" s="205">
        <f>SUM(N36:N40)</f>
        <v>5000000</v>
      </c>
      <c r="O35" s="205">
        <f t="shared" si="18"/>
        <v>25493000</v>
      </c>
      <c r="P35" s="205">
        <f t="shared" si="19"/>
        <v>25493000</v>
      </c>
      <c r="Q35" s="205">
        <v>0</v>
      </c>
      <c r="R35" s="205">
        <v>0</v>
      </c>
    </row>
    <row r="36" spans="1:18" ht="17.100000000000001" customHeight="1" x14ac:dyDescent="0.3">
      <c r="A36" s="188" t="s">
        <v>124</v>
      </c>
      <c r="B36" s="188" t="s">
        <v>125</v>
      </c>
      <c r="C36" s="206">
        <v>1915000</v>
      </c>
      <c r="D36" s="203">
        <v>1459309</v>
      </c>
      <c r="E36" s="203">
        <f>225000+2036000</f>
        <v>2261000</v>
      </c>
      <c r="F36" s="203">
        <f t="shared" si="15"/>
        <v>2261000</v>
      </c>
      <c r="G36" s="203"/>
      <c r="H36" s="203"/>
      <c r="I36" s="203">
        <f>50000</f>
        <v>50000</v>
      </c>
      <c r="J36" s="203">
        <f t="shared" si="16"/>
        <v>2311000</v>
      </c>
      <c r="K36" s="203">
        <f t="shared" si="17"/>
        <v>2311000</v>
      </c>
      <c r="L36" s="203"/>
      <c r="M36" s="203"/>
      <c r="N36" s="203">
        <f>1600000</f>
        <v>1600000</v>
      </c>
      <c r="O36" s="203">
        <f t="shared" si="18"/>
        <v>3911000</v>
      </c>
      <c r="P36" s="203">
        <f t="shared" si="19"/>
        <v>3911000</v>
      </c>
      <c r="Q36" s="203"/>
      <c r="R36" s="203"/>
    </row>
    <row r="37" spans="1:18" ht="17.100000000000001" customHeight="1" x14ac:dyDescent="0.3">
      <c r="A37" s="188" t="s">
        <v>130</v>
      </c>
      <c r="B37" s="188" t="s">
        <v>131</v>
      </c>
      <c r="C37" s="206">
        <v>3800000</v>
      </c>
      <c r="D37" s="203">
        <v>2870915</v>
      </c>
      <c r="E37" s="203">
        <v>3800000</v>
      </c>
      <c r="F37" s="203">
        <f t="shared" si="15"/>
        <v>3800000</v>
      </c>
      <c r="G37" s="203"/>
      <c r="H37" s="203"/>
      <c r="I37" s="203"/>
      <c r="J37" s="203">
        <f t="shared" si="16"/>
        <v>3800000</v>
      </c>
      <c r="K37" s="203">
        <f t="shared" si="17"/>
        <v>3800000</v>
      </c>
      <c r="L37" s="203"/>
      <c r="M37" s="203"/>
      <c r="N37" s="203"/>
      <c r="O37" s="203">
        <f t="shared" si="18"/>
        <v>3800000</v>
      </c>
      <c r="P37" s="203">
        <f t="shared" si="19"/>
        <v>3800000</v>
      </c>
      <c r="Q37" s="203"/>
      <c r="R37" s="203"/>
    </row>
    <row r="38" spans="1:18" ht="17.100000000000001" customHeight="1" x14ac:dyDescent="0.3">
      <c r="A38" s="188" t="s">
        <v>136</v>
      </c>
      <c r="B38" s="188" t="s">
        <v>137</v>
      </c>
      <c r="C38" s="206">
        <f>150000+10260000+949480</f>
        <v>11359480</v>
      </c>
      <c r="D38" s="203">
        <v>6124276</v>
      </c>
      <c r="E38" s="203">
        <v>9400000</v>
      </c>
      <c r="F38" s="203">
        <f t="shared" si="15"/>
        <v>9400000</v>
      </c>
      <c r="G38" s="203"/>
      <c r="H38" s="203"/>
      <c r="I38" s="203">
        <f>-301000</f>
        <v>-301000</v>
      </c>
      <c r="J38" s="203">
        <f t="shared" si="16"/>
        <v>9099000</v>
      </c>
      <c r="K38" s="203">
        <f t="shared" si="17"/>
        <v>9099000</v>
      </c>
      <c r="L38" s="203"/>
      <c r="M38" s="203"/>
      <c r="N38" s="203">
        <f>10000+1600000+800000</f>
        <v>2410000</v>
      </c>
      <c r="O38" s="203">
        <f t="shared" si="18"/>
        <v>11509000</v>
      </c>
      <c r="P38" s="203">
        <f t="shared" si="19"/>
        <v>11509000</v>
      </c>
      <c r="Q38" s="203"/>
      <c r="R38" s="203"/>
    </row>
    <row r="39" spans="1:18" ht="17.100000000000001" customHeight="1" x14ac:dyDescent="0.3">
      <c r="A39" s="188" t="s">
        <v>150</v>
      </c>
      <c r="B39" s="188" t="s">
        <v>151</v>
      </c>
      <c r="C39" s="206">
        <v>1600000</v>
      </c>
      <c r="D39" s="203">
        <v>1102430</v>
      </c>
      <c r="E39" s="203">
        <v>1600000</v>
      </c>
      <c r="F39" s="203">
        <f t="shared" si="15"/>
        <v>1600000</v>
      </c>
      <c r="G39" s="203"/>
      <c r="H39" s="203"/>
      <c r="I39" s="203"/>
      <c r="J39" s="203">
        <f t="shared" si="16"/>
        <v>1600000</v>
      </c>
      <c r="K39" s="203">
        <f t="shared" si="17"/>
        <v>1600000</v>
      </c>
      <c r="L39" s="203"/>
      <c r="M39" s="203"/>
      <c r="N39" s="203">
        <f>-10000</f>
        <v>-10000</v>
      </c>
      <c r="O39" s="203">
        <f t="shared" si="18"/>
        <v>1590000</v>
      </c>
      <c r="P39" s="203">
        <f t="shared" si="19"/>
        <v>1590000</v>
      </c>
      <c r="Q39" s="203"/>
      <c r="R39" s="203"/>
    </row>
    <row r="40" spans="1:18" ht="17.100000000000001" customHeight="1" x14ac:dyDescent="0.3">
      <c r="A40" s="188" t="s">
        <v>152</v>
      </c>
      <c r="B40" s="188" t="s">
        <v>153</v>
      </c>
      <c r="C40" s="206">
        <v>2590000</v>
      </c>
      <c r="D40" s="203">
        <v>2122164</v>
      </c>
      <c r="E40" s="203">
        <v>3680000</v>
      </c>
      <c r="F40" s="203">
        <f t="shared" si="15"/>
        <v>3680000</v>
      </c>
      <c r="G40" s="203"/>
      <c r="H40" s="203"/>
      <c r="I40" s="203">
        <f>3000</f>
        <v>3000</v>
      </c>
      <c r="J40" s="203">
        <f t="shared" si="16"/>
        <v>3683000</v>
      </c>
      <c r="K40" s="203">
        <f t="shared" si="17"/>
        <v>3683000</v>
      </c>
      <c r="L40" s="203"/>
      <c r="M40" s="203"/>
      <c r="N40" s="203">
        <f>400000+600000</f>
        <v>1000000</v>
      </c>
      <c r="O40" s="203">
        <f t="shared" si="18"/>
        <v>4683000</v>
      </c>
      <c r="P40" s="203">
        <f t="shared" si="19"/>
        <v>4683000</v>
      </c>
      <c r="Q40" s="203"/>
      <c r="R40" s="203"/>
    </row>
    <row r="41" spans="1:18" ht="17.100000000000001" customHeight="1" x14ac:dyDescent="0.3">
      <c r="A41" s="183" t="s">
        <v>166</v>
      </c>
      <c r="B41" s="183" t="s">
        <v>167</v>
      </c>
      <c r="C41" s="204">
        <f t="shared" ref="C41:R41" si="20">SUM(C42)</f>
        <v>0</v>
      </c>
      <c r="D41" s="204">
        <f t="shared" si="20"/>
        <v>0</v>
      </c>
      <c r="E41" s="204">
        <f t="shared" si="20"/>
        <v>0</v>
      </c>
      <c r="F41" s="204">
        <f t="shared" si="15"/>
        <v>0</v>
      </c>
      <c r="G41" s="204">
        <f t="shared" si="20"/>
        <v>0</v>
      </c>
      <c r="H41" s="204">
        <f t="shared" si="20"/>
        <v>0</v>
      </c>
      <c r="I41" s="204">
        <f t="shared" si="20"/>
        <v>0</v>
      </c>
      <c r="J41" s="204">
        <f t="shared" si="16"/>
        <v>0</v>
      </c>
      <c r="K41" s="204">
        <f t="shared" si="17"/>
        <v>0</v>
      </c>
      <c r="L41" s="204">
        <f t="shared" si="20"/>
        <v>0</v>
      </c>
      <c r="M41" s="204">
        <f t="shared" si="20"/>
        <v>0</v>
      </c>
      <c r="N41" s="204">
        <f t="shared" si="20"/>
        <v>0</v>
      </c>
      <c r="O41" s="204">
        <f t="shared" si="18"/>
        <v>0</v>
      </c>
      <c r="P41" s="204">
        <f t="shared" si="19"/>
        <v>0</v>
      </c>
      <c r="Q41" s="204">
        <f t="shared" si="20"/>
        <v>0</v>
      </c>
      <c r="R41" s="204">
        <f t="shared" si="20"/>
        <v>0</v>
      </c>
    </row>
    <row r="42" spans="1:18" ht="17.100000000000001" customHeight="1" x14ac:dyDescent="0.3">
      <c r="A42" s="188" t="s">
        <v>174</v>
      </c>
      <c r="B42" s="188" t="s">
        <v>218</v>
      </c>
      <c r="C42" s="203">
        <v>0</v>
      </c>
      <c r="D42" s="203">
        <v>0</v>
      </c>
      <c r="E42" s="203">
        <v>0</v>
      </c>
      <c r="F42" s="203">
        <f t="shared" si="15"/>
        <v>0</v>
      </c>
      <c r="G42" s="203"/>
      <c r="H42" s="203"/>
      <c r="I42" s="203"/>
      <c r="J42" s="203">
        <f t="shared" si="16"/>
        <v>0</v>
      </c>
      <c r="K42" s="203">
        <f t="shared" si="17"/>
        <v>0</v>
      </c>
      <c r="L42" s="203"/>
      <c r="M42" s="203"/>
      <c r="N42" s="203"/>
      <c r="O42" s="203">
        <f t="shared" si="18"/>
        <v>0</v>
      </c>
      <c r="P42" s="203">
        <f t="shared" si="19"/>
        <v>0</v>
      </c>
      <c r="Q42" s="203"/>
      <c r="R42" s="203"/>
    </row>
    <row r="43" spans="1:18" ht="17.100000000000001" customHeight="1" x14ac:dyDescent="0.3">
      <c r="A43" s="183" t="s">
        <v>219</v>
      </c>
      <c r="B43" s="183" t="s">
        <v>179</v>
      </c>
      <c r="C43" s="201">
        <f>SUM(C44:C47)</f>
        <v>1620520</v>
      </c>
      <c r="D43" s="201">
        <f t="shared" ref="D43:E43" si="21">SUM(D44:D47)</f>
        <v>419000</v>
      </c>
      <c r="E43" s="201">
        <f t="shared" si="21"/>
        <v>1270000</v>
      </c>
      <c r="F43" s="201">
        <f t="shared" si="15"/>
        <v>1270000</v>
      </c>
      <c r="G43" s="201">
        <v>0</v>
      </c>
      <c r="H43" s="201">
        <v>0</v>
      </c>
      <c r="I43" s="201">
        <f t="shared" ref="I43" si="22">SUM(I44:I47)</f>
        <v>0</v>
      </c>
      <c r="J43" s="201">
        <f t="shared" si="16"/>
        <v>1270000</v>
      </c>
      <c r="K43" s="201">
        <f t="shared" si="17"/>
        <v>1270000</v>
      </c>
      <c r="L43" s="201">
        <v>0</v>
      </c>
      <c r="M43" s="201">
        <v>0</v>
      </c>
      <c r="N43" s="201">
        <f t="shared" ref="N43" si="23">SUM(N44:N47)</f>
        <v>1000000</v>
      </c>
      <c r="O43" s="201">
        <f t="shared" si="18"/>
        <v>2270000</v>
      </c>
      <c r="P43" s="201">
        <f t="shared" si="19"/>
        <v>2270000</v>
      </c>
      <c r="Q43" s="201">
        <v>0</v>
      </c>
      <c r="R43" s="201">
        <v>0</v>
      </c>
    </row>
    <row r="44" spans="1:18" ht="17.100000000000001" customHeight="1" x14ac:dyDescent="0.3">
      <c r="A44" s="188" t="s">
        <v>3</v>
      </c>
      <c r="B44" s="23" t="s">
        <v>4</v>
      </c>
      <c r="C44" s="216">
        <f>107000+200000</f>
        <v>307000</v>
      </c>
      <c r="D44" s="216">
        <v>33071</v>
      </c>
      <c r="E44" s="216"/>
      <c r="F44" s="216">
        <f t="shared" si="15"/>
        <v>0</v>
      </c>
      <c r="G44" s="201"/>
      <c r="H44" s="201"/>
      <c r="I44" s="216"/>
      <c r="J44" s="216">
        <f t="shared" si="16"/>
        <v>0</v>
      </c>
      <c r="K44" s="216">
        <f t="shared" si="17"/>
        <v>0</v>
      </c>
      <c r="L44" s="201"/>
      <c r="M44" s="201"/>
      <c r="N44" s="216">
        <f>800000</f>
        <v>800000</v>
      </c>
      <c r="O44" s="216">
        <f t="shared" si="18"/>
        <v>800000</v>
      </c>
      <c r="P44" s="216">
        <f t="shared" si="19"/>
        <v>800000</v>
      </c>
      <c r="Q44" s="201"/>
      <c r="R44" s="201"/>
    </row>
    <row r="45" spans="1:18" ht="17.100000000000001" customHeight="1" x14ac:dyDescent="0.3">
      <c r="A45" s="188" t="s">
        <v>430</v>
      </c>
      <c r="B45" s="23" t="s">
        <v>431</v>
      </c>
      <c r="C45" s="216">
        <f>169000+600000</f>
        <v>769000</v>
      </c>
      <c r="D45" s="216">
        <v>254330</v>
      </c>
      <c r="E45" s="216">
        <v>800000</v>
      </c>
      <c r="F45" s="216">
        <f t="shared" si="15"/>
        <v>800000</v>
      </c>
      <c r="G45" s="201"/>
      <c r="H45" s="201"/>
      <c r="I45" s="216"/>
      <c r="J45" s="216">
        <f t="shared" si="16"/>
        <v>800000</v>
      </c>
      <c r="K45" s="216">
        <f t="shared" si="17"/>
        <v>800000</v>
      </c>
      <c r="L45" s="201"/>
      <c r="M45" s="201"/>
      <c r="N45" s="216"/>
      <c r="O45" s="216">
        <f t="shared" si="18"/>
        <v>800000</v>
      </c>
      <c r="P45" s="216">
        <f t="shared" si="19"/>
        <v>800000</v>
      </c>
      <c r="Q45" s="201"/>
      <c r="R45" s="201"/>
    </row>
    <row r="46" spans="1:18" ht="17.100000000000001" customHeight="1" x14ac:dyDescent="0.3">
      <c r="A46" s="188" t="s">
        <v>182</v>
      </c>
      <c r="B46" s="188" t="s">
        <v>220</v>
      </c>
      <c r="C46" s="206">
        <v>200000</v>
      </c>
      <c r="D46" s="203">
        <v>54000</v>
      </c>
      <c r="E46" s="203">
        <v>200000</v>
      </c>
      <c r="F46" s="203">
        <f t="shared" si="15"/>
        <v>200000</v>
      </c>
      <c r="G46" s="203"/>
      <c r="H46" s="203"/>
      <c r="I46" s="203"/>
      <c r="J46" s="203">
        <f t="shared" si="16"/>
        <v>200000</v>
      </c>
      <c r="K46" s="203">
        <f t="shared" si="17"/>
        <v>200000</v>
      </c>
      <c r="L46" s="203"/>
      <c r="M46" s="203"/>
      <c r="N46" s="203"/>
      <c r="O46" s="203">
        <f t="shared" si="18"/>
        <v>200000</v>
      </c>
      <c r="P46" s="203">
        <f t="shared" si="19"/>
        <v>200000</v>
      </c>
      <c r="Q46" s="203"/>
      <c r="R46" s="203"/>
    </row>
    <row r="47" spans="1:18" ht="17.100000000000001" customHeight="1" x14ac:dyDescent="0.3">
      <c r="A47" s="188" t="s">
        <v>184</v>
      </c>
      <c r="B47" s="188" t="s">
        <v>221</v>
      </c>
      <c r="C47" s="206">
        <f>74520+270000</f>
        <v>344520</v>
      </c>
      <c r="D47" s="203">
        <v>77599</v>
      </c>
      <c r="E47" s="203">
        <v>270000</v>
      </c>
      <c r="F47" s="203">
        <f t="shared" si="15"/>
        <v>270000</v>
      </c>
      <c r="G47" s="203"/>
      <c r="H47" s="203"/>
      <c r="I47" s="203"/>
      <c r="J47" s="203">
        <f t="shared" si="16"/>
        <v>270000</v>
      </c>
      <c r="K47" s="203">
        <f t="shared" si="17"/>
        <v>270000</v>
      </c>
      <c r="L47" s="203"/>
      <c r="M47" s="203"/>
      <c r="N47" s="203">
        <f>200000</f>
        <v>200000</v>
      </c>
      <c r="O47" s="203">
        <f t="shared" si="18"/>
        <v>470000</v>
      </c>
      <c r="P47" s="203">
        <f t="shared" si="19"/>
        <v>470000</v>
      </c>
      <c r="Q47" s="203"/>
      <c r="R47" s="203"/>
    </row>
    <row r="48" spans="1:18" ht="33" customHeight="1" x14ac:dyDescent="0.25">
      <c r="A48" s="315" t="s">
        <v>397</v>
      </c>
      <c r="B48" s="310"/>
      <c r="C48" s="207">
        <f t="shared" ref="C48:H48" si="24">C31+C34+C35+C43+C41</f>
        <v>72135000</v>
      </c>
      <c r="D48" s="207">
        <f t="shared" si="24"/>
        <v>57114311</v>
      </c>
      <c r="E48" s="192">
        <f t="shared" si="24"/>
        <v>79258000</v>
      </c>
      <c r="F48" s="192">
        <f t="shared" si="15"/>
        <v>79258000</v>
      </c>
      <c r="G48" s="207">
        <f t="shared" si="24"/>
        <v>0</v>
      </c>
      <c r="H48" s="192">
        <f t="shared" si="24"/>
        <v>0</v>
      </c>
      <c r="I48" s="192">
        <f t="shared" ref="I48" si="25">I31+I34+I35+I43+I41</f>
        <v>4072000</v>
      </c>
      <c r="J48" s="192">
        <f t="shared" si="16"/>
        <v>83330000</v>
      </c>
      <c r="K48" s="192">
        <f t="shared" si="17"/>
        <v>83330000</v>
      </c>
      <c r="L48" s="207">
        <f t="shared" ref="L48:N48" si="26">L31+L34+L35+L43+L41</f>
        <v>0</v>
      </c>
      <c r="M48" s="192">
        <f t="shared" si="26"/>
        <v>0</v>
      </c>
      <c r="N48" s="192">
        <f t="shared" si="26"/>
        <v>6000000</v>
      </c>
      <c r="O48" s="192">
        <f t="shared" si="18"/>
        <v>89330000</v>
      </c>
      <c r="P48" s="192">
        <f t="shared" si="19"/>
        <v>89330000</v>
      </c>
      <c r="Q48" s="207">
        <f t="shared" ref="Q48:R48" si="27">Q31+Q34+Q35+Q43+Q41</f>
        <v>0</v>
      </c>
      <c r="R48" s="192">
        <f t="shared" si="27"/>
        <v>0</v>
      </c>
    </row>
    <row r="49" spans="1:18" ht="17.100000000000001" customHeight="1" x14ac:dyDescent="0.3">
      <c r="A49" s="193"/>
      <c r="B49" s="193"/>
      <c r="C49" s="193"/>
      <c r="D49" s="208"/>
      <c r="E49" s="208"/>
      <c r="F49" s="209"/>
      <c r="G49" s="209"/>
      <c r="H49" s="209"/>
      <c r="I49" s="208"/>
      <c r="J49" s="208"/>
      <c r="K49" s="209"/>
      <c r="L49" s="209"/>
      <c r="M49" s="209"/>
      <c r="N49" s="208"/>
      <c r="O49" s="208"/>
      <c r="P49" s="209"/>
      <c r="Q49" s="209"/>
      <c r="R49" s="209"/>
    </row>
    <row r="50" spans="1:18" ht="17.100000000000001" customHeight="1" x14ac:dyDescent="0.3">
      <c r="A50" s="210"/>
      <c r="B50" s="211"/>
      <c r="C50" s="211"/>
      <c r="D50" s="211"/>
      <c r="E50" s="210"/>
      <c r="F50" s="209"/>
      <c r="G50" s="209"/>
      <c r="H50" s="209"/>
      <c r="I50" s="210"/>
      <c r="J50" s="210"/>
      <c r="K50" s="209"/>
      <c r="L50" s="209"/>
      <c r="M50" s="209"/>
      <c r="N50" s="210"/>
      <c r="O50" s="210"/>
      <c r="P50" s="209"/>
      <c r="Q50" s="209"/>
      <c r="R50" s="209"/>
    </row>
    <row r="51" spans="1:18" ht="17.100000000000001" customHeight="1" x14ac:dyDescent="0.3">
      <c r="A51" s="319" t="s">
        <v>222</v>
      </c>
      <c r="B51" s="320"/>
      <c r="C51" s="320"/>
      <c r="D51" s="321"/>
      <c r="E51" s="212">
        <v>11</v>
      </c>
      <c r="F51" s="209"/>
      <c r="G51" s="209"/>
      <c r="H51" s="209"/>
      <c r="I51" s="212">
        <v>11</v>
      </c>
      <c r="J51" s="212">
        <v>11</v>
      </c>
      <c r="K51" s="209"/>
      <c r="L51" s="209"/>
      <c r="M51" s="209"/>
      <c r="N51" s="212">
        <v>11</v>
      </c>
      <c r="O51" s="212">
        <v>11</v>
      </c>
      <c r="P51" s="209"/>
      <c r="Q51" s="209"/>
      <c r="R51" s="209"/>
    </row>
    <row r="52" spans="1:18" ht="17.100000000000001" customHeight="1" x14ac:dyDescent="0.3">
      <c r="A52" s="319" t="s">
        <v>223</v>
      </c>
      <c r="B52" s="320"/>
      <c r="C52" s="320"/>
      <c r="D52" s="321"/>
      <c r="E52" s="212">
        <v>0</v>
      </c>
      <c r="F52" s="209"/>
      <c r="G52" s="209"/>
      <c r="H52" s="209"/>
      <c r="I52" s="212">
        <v>0</v>
      </c>
      <c r="J52" s="212">
        <v>0</v>
      </c>
      <c r="K52" s="209"/>
      <c r="L52" s="209"/>
      <c r="M52" s="209"/>
      <c r="N52" s="212">
        <v>0</v>
      </c>
      <c r="O52" s="212">
        <v>0</v>
      </c>
      <c r="P52" s="209"/>
      <c r="Q52" s="209"/>
      <c r="R52" s="209"/>
    </row>
    <row r="53" spans="1:18" ht="17.100000000000001" customHeight="1" x14ac:dyDescent="0.3">
      <c r="A53" s="210"/>
      <c r="B53" s="210"/>
      <c r="C53" s="210"/>
      <c r="D53" s="210"/>
      <c r="E53" s="210"/>
      <c r="F53" s="209"/>
      <c r="G53" s="209"/>
      <c r="H53" s="209"/>
      <c r="I53" s="210"/>
      <c r="J53" s="210"/>
      <c r="K53" s="209"/>
      <c r="L53" s="209"/>
      <c r="M53" s="209"/>
      <c r="N53" s="210"/>
      <c r="O53" s="210"/>
      <c r="P53" s="209"/>
      <c r="Q53" s="209"/>
      <c r="R53" s="209"/>
    </row>
    <row r="54" spans="1:18" x14ac:dyDescent="0.25">
      <c r="F54" s="214"/>
      <c r="G54" s="214"/>
      <c r="H54" s="214"/>
      <c r="K54" s="214"/>
      <c r="L54" s="214"/>
      <c r="M54" s="214"/>
      <c r="P54" s="214"/>
      <c r="Q54" s="214"/>
      <c r="R54" s="214"/>
    </row>
  </sheetData>
  <mergeCells count="37">
    <mergeCell ref="Q6:R6"/>
    <mergeCell ref="N7:N8"/>
    <mergeCell ref="O7:O8"/>
    <mergeCell ref="P7:R7"/>
    <mergeCell ref="N29:N30"/>
    <mergeCell ref="O29:O30"/>
    <mergeCell ref="P29:R29"/>
    <mergeCell ref="A26:B26"/>
    <mergeCell ref="A48:B48"/>
    <mergeCell ref="A51:D51"/>
    <mergeCell ref="A52:D52"/>
    <mergeCell ref="A4:H4"/>
    <mergeCell ref="F7:H7"/>
    <mergeCell ref="A29:A30"/>
    <mergeCell ref="B29:B30"/>
    <mergeCell ref="C29:C30"/>
    <mergeCell ref="D29:D30"/>
    <mergeCell ref="E29:E30"/>
    <mergeCell ref="F29:H29"/>
    <mergeCell ref="A7:A8"/>
    <mergeCell ref="B7:B8"/>
    <mergeCell ref="C7:C8"/>
    <mergeCell ref="D7:D8"/>
    <mergeCell ref="E7:E8"/>
    <mergeCell ref="A2:H2"/>
    <mergeCell ref="A3:H3"/>
    <mergeCell ref="A6:B6"/>
    <mergeCell ref="D6:E6"/>
    <mergeCell ref="G6:H6"/>
    <mergeCell ref="A5:B5"/>
    <mergeCell ref="I7:I8"/>
    <mergeCell ref="I29:I30"/>
    <mergeCell ref="L6:M6"/>
    <mergeCell ref="J7:J8"/>
    <mergeCell ref="K7:M7"/>
    <mergeCell ref="J29:J30"/>
    <mergeCell ref="K29:M29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R54"/>
  <sheetViews>
    <sheetView zoomScaleNormal="100" workbookViewId="0">
      <selection activeCell="A6" sqref="A6:B6"/>
    </sheetView>
  </sheetViews>
  <sheetFormatPr defaultColWidth="8.5546875" defaultRowHeight="13.2" x14ac:dyDescent="0.25"/>
  <cols>
    <col min="1" max="1" width="6.21875" style="213" customWidth="1"/>
    <col min="2" max="2" width="50.5546875" style="213" customWidth="1"/>
    <col min="3" max="4" width="11.5546875" style="213" hidden="1" customWidth="1"/>
    <col min="5" max="18" width="11.5546875" style="213" customWidth="1"/>
    <col min="19" max="16384" width="8.5546875" style="214"/>
  </cols>
  <sheetData>
    <row r="2" spans="1:18" ht="18" x14ac:dyDescent="0.35">
      <c r="A2" s="317" t="s">
        <v>353</v>
      </c>
      <c r="B2" s="318"/>
      <c r="C2" s="318"/>
      <c r="D2" s="318"/>
      <c r="E2" s="318"/>
      <c r="F2" s="318"/>
      <c r="G2" s="318"/>
      <c r="H2" s="318"/>
      <c r="I2" s="214"/>
      <c r="J2" s="214"/>
      <c r="K2" s="214"/>
      <c r="L2" s="214"/>
      <c r="M2" s="214"/>
      <c r="N2" s="214"/>
      <c r="O2" s="214"/>
      <c r="P2" s="214"/>
      <c r="Q2" s="214"/>
      <c r="R2" s="214"/>
    </row>
    <row r="3" spans="1:18" s="217" customFormat="1" ht="17.100000000000001" customHeight="1" x14ac:dyDescent="0.25">
      <c r="A3" s="314">
        <v>2022</v>
      </c>
      <c r="B3" s="314"/>
      <c r="C3" s="314"/>
      <c r="D3" s="314"/>
      <c r="E3" s="314"/>
      <c r="F3" s="314"/>
      <c r="G3" s="314"/>
      <c r="H3" s="314"/>
    </row>
    <row r="4" spans="1:18" s="217" customFormat="1" ht="17.100000000000001" customHeight="1" x14ac:dyDescent="0.25">
      <c r="A4" s="314" t="s">
        <v>361</v>
      </c>
      <c r="B4" s="327"/>
      <c r="C4" s="327"/>
      <c r="D4" s="327"/>
      <c r="E4" s="327"/>
      <c r="F4" s="327"/>
      <c r="G4" s="327"/>
      <c r="H4" s="327"/>
    </row>
    <row r="5" spans="1:18" s="217" customFormat="1" ht="17.100000000000001" customHeight="1" x14ac:dyDescent="0.3">
      <c r="A5" s="303" t="s">
        <v>570</v>
      </c>
      <c r="B5" s="303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</row>
    <row r="6" spans="1:18" ht="17.100000000000001" customHeight="1" x14ac:dyDescent="0.3">
      <c r="A6" s="303" t="s">
        <v>558</v>
      </c>
      <c r="B6" s="303"/>
      <c r="C6" s="182"/>
      <c r="D6" s="313"/>
      <c r="E6" s="313"/>
      <c r="F6" s="182"/>
      <c r="G6" s="313" t="s">
        <v>15</v>
      </c>
      <c r="H6" s="313"/>
      <c r="I6" s="214"/>
      <c r="J6" s="214"/>
      <c r="K6" s="182"/>
      <c r="L6" s="313" t="s">
        <v>15</v>
      </c>
      <c r="M6" s="313"/>
      <c r="N6" s="214"/>
      <c r="O6" s="214"/>
      <c r="P6" s="182"/>
      <c r="Q6" s="313" t="s">
        <v>15</v>
      </c>
      <c r="R6" s="313"/>
    </row>
    <row r="7" spans="1:18" ht="17.100000000000001" customHeight="1" x14ac:dyDescent="0.25">
      <c r="A7" s="312" t="s">
        <v>19</v>
      </c>
      <c r="B7" s="312" t="s">
        <v>206</v>
      </c>
      <c r="C7" s="312" t="s">
        <v>482</v>
      </c>
      <c r="D7" s="312" t="s">
        <v>483</v>
      </c>
      <c r="E7" s="312" t="s">
        <v>481</v>
      </c>
      <c r="F7" s="312" t="s">
        <v>480</v>
      </c>
      <c r="G7" s="312"/>
      <c r="H7" s="312"/>
      <c r="I7" s="312" t="s">
        <v>511</v>
      </c>
      <c r="J7" s="312" t="s">
        <v>530</v>
      </c>
      <c r="K7" s="312" t="s">
        <v>512</v>
      </c>
      <c r="L7" s="312"/>
      <c r="M7" s="312"/>
      <c r="N7" s="312" t="s">
        <v>531</v>
      </c>
      <c r="O7" s="312" t="s">
        <v>541</v>
      </c>
      <c r="P7" s="312" t="s">
        <v>532</v>
      </c>
      <c r="Q7" s="312"/>
      <c r="R7" s="312"/>
    </row>
    <row r="8" spans="1:18" ht="41.1" customHeight="1" x14ac:dyDescent="0.25">
      <c r="A8" s="312"/>
      <c r="B8" s="312"/>
      <c r="C8" s="312"/>
      <c r="D8" s="312"/>
      <c r="E8" s="312"/>
      <c r="F8" s="240" t="s">
        <v>204</v>
      </c>
      <c r="G8" s="240" t="s">
        <v>205</v>
      </c>
      <c r="H8" s="240" t="s">
        <v>359</v>
      </c>
      <c r="I8" s="312"/>
      <c r="J8" s="312"/>
      <c r="K8" s="240" t="s">
        <v>204</v>
      </c>
      <c r="L8" s="240" t="s">
        <v>205</v>
      </c>
      <c r="M8" s="240" t="s">
        <v>359</v>
      </c>
      <c r="N8" s="312"/>
      <c r="O8" s="312"/>
      <c r="P8" s="240" t="s">
        <v>204</v>
      </c>
      <c r="Q8" s="240" t="s">
        <v>205</v>
      </c>
      <c r="R8" s="240" t="s">
        <v>359</v>
      </c>
    </row>
    <row r="9" spans="1:18" s="220" customFormat="1" ht="19.5" customHeight="1" x14ac:dyDescent="0.3">
      <c r="A9" s="183" t="s">
        <v>23</v>
      </c>
      <c r="B9" s="183" t="s">
        <v>207</v>
      </c>
      <c r="C9" s="184">
        <f t="shared" ref="C9:R9" si="0">C10</f>
        <v>0</v>
      </c>
      <c r="D9" s="184">
        <f t="shared" si="0"/>
        <v>0</v>
      </c>
      <c r="E9" s="184">
        <f t="shared" si="0"/>
        <v>586000</v>
      </c>
      <c r="F9" s="184">
        <f>E9</f>
        <v>586000</v>
      </c>
      <c r="G9" s="184">
        <f t="shared" si="0"/>
        <v>0</v>
      </c>
      <c r="H9" s="184">
        <f t="shared" si="0"/>
        <v>0</v>
      </c>
      <c r="I9" s="184">
        <f t="shared" si="0"/>
        <v>0</v>
      </c>
      <c r="J9" s="184">
        <f>E9+I9</f>
        <v>586000</v>
      </c>
      <c r="K9" s="184">
        <f>J9</f>
        <v>586000</v>
      </c>
      <c r="L9" s="184">
        <f t="shared" si="0"/>
        <v>0</v>
      </c>
      <c r="M9" s="184">
        <f t="shared" si="0"/>
        <v>0</v>
      </c>
      <c r="N9" s="184">
        <f t="shared" si="0"/>
        <v>0</v>
      </c>
      <c r="O9" s="184">
        <f>J9+N9</f>
        <v>586000</v>
      </c>
      <c r="P9" s="184">
        <f>O9</f>
        <v>586000</v>
      </c>
      <c r="Q9" s="184">
        <f t="shared" si="0"/>
        <v>0</v>
      </c>
      <c r="R9" s="184">
        <f t="shared" si="0"/>
        <v>0</v>
      </c>
    </row>
    <row r="10" spans="1:18" s="220" customFormat="1" ht="19.5" customHeight="1" x14ac:dyDescent="0.3">
      <c r="A10" s="185" t="s">
        <v>37</v>
      </c>
      <c r="B10" s="185" t="s">
        <v>208</v>
      </c>
      <c r="C10" s="186"/>
      <c r="D10" s="186"/>
      <c r="E10" s="186">
        <v>586000</v>
      </c>
      <c r="F10" s="186">
        <f t="shared" ref="F10:F26" si="1">E10</f>
        <v>586000</v>
      </c>
      <c r="G10" s="218"/>
      <c r="H10" s="218"/>
      <c r="I10" s="186"/>
      <c r="J10" s="186">
        <f t="shared" ref="J10:J26" si="2">E10+I10</f>
        <v>586000</v>
      </c>
      <c r="K10" s="186">
        <f t="shared" ref="K10:K26" si="3">J10</f>
        <v>586000</v>
      </c>
      <c r="L10" s="218"/>
      <c r="M10" s="218"/>
      <c r="N10" s="186"/>
      <c r="O10" s="186">
        <f t="shared" ref="O10:O26" si="4">J10+N10</f>
        <v>586000</v>
      </c>
      <c r="P10" s="186">
        <f t="shared" ref="P10:P26" si="5">O10</f>
        <v>586000</v>
      </c>
      <c r="Q10" s="218"/>
      <c r="R10" s="218"/>
    </row>
    <row r="11" spans="1:18" ht="17.100000000000001" customHeight="1" x14ac:dyDescent="0.3">
      <c r="A11" s="183" t="s">
        <v>45</v>
      </c>
      <c r="B11" s="183" t="s">
        <v>207</v>
      </c>
      <c r="C11" s="184">
        <f>C12</f>
        <v>600000</v>
      </c>
      <c r="D11" s="184">
        <f>D12</f>
        <v>680000</v>
      </c>
      <c r="E11" s="184">
        <f>E12</f>
        <v>600000</v>
      </c>
      <c r="F11" s="184">
        <f t="shared" si="1"/>
        <v>600000</v>
      </c>
      <c r="G11" s="184">
        <v>0</v>
      </c>
      <c r="H11" s="184">
        <v>0</v>
      </c>
      <c r="I11" s="184">
        <f>I12</f>
        <v>0</v>
      </c>
      <c r="J11" s="184">
        <f t="shared" si="2"/>
        <v>600000</v>
      </c>
      <c r="K11" s="184">
        <f t="shared" si="3"/>
        <v>600000</v>
      </c>
      <c r="L11" s="184">
        <v>0</v>
      </c>
      <c r="M11" s="184">
        <v>0</v>
      </c>
      <c r="N11" s="184">
        <f>N12</f>
        <v>0</v>
      </c>
      <c r="O11" s="184">
        <f t="shared" si="4"/>
        <v>600000</v>
      </c>
      <c r="P11" s="184">
        <f t="shared" si="5"/>
        <v>600000</v>
      </c>
      <c r="Q11" s="184">
        <v>0</v>
      </c>
      <c r="R11" s="184">
        <v>0</v>
      </c>
    </row>
    <row r="12" spans="1:18" ht="17.100000000000001" customHeight="1" x14ac:dyDescent="0.3">
      <c r="A12" s="185" t="s">
        <v>53</v>
      </c>
      <c r="B12" s="185" t="s">
        <v>54</v>
      </c>
      <c r="C12" s="186">
        <v>600000</v>
      </c>
      <c r="D12" s="186">
        <v>680000</v>
      </c>
      <c r="E12" s="186">
        <v>600000</v>
      </c>
      <c r="F12" s="186">
        <f t="shared" si="1"/>
        <v>600000</v>
      </c>
      <c r="G12" s="186"/>
      <c r="H12" s="186"/>
      <c r="I12" s="186"/>
      <c r="J12" s="186">
        <f t="shared" si="2"/>
        <v>600000</v>
      </c>
      <c r="K12" s="186">
        <f t="shared" si="3"/>
        <v>600000</v>
      </c>
      <c r="L12" s="186"/>
      <c r="M12" s="186"/>
      <c r="N12" s="186"/>
      <c r="O12" s="186">
        <f t="shared" si="4"/>
        <v>600000</v>
      </c>
      <c r="P12" s="186">
        <f t="shared" si="5"/>
        <v>600000</v>
      </c>
      <c r="Q12" s="186"/>
      <c r="R12" s="186"/>
    </row>
    <row r="13" spans="1:18" ht="17.100000000000001" customHeight="1" x14ac:dyDescent="0.3">
      <c r="A13" s="183" t="s">
        <v>55</v>
      </c>
      <c r="B13" s="183" t="s">
        <v>56</v>
      </c>
      <c r="C13" s="187">
        <f>SUM(C14:C19)</f>
        <v>0</v>
      </c>
      <c r="D13" s="187">
        <f>SUM(D14:D19)</f>
        <v>0</v>
      </c>
      <c r="E13" s="184">
        <f>SUM(E14:E19)</f>
        <v>0</v>
      </c>
      <c r="F13" s="184">
        <f t="shared" si="1"/>
        <v>0</v>
      </c>
      <c r="G13" s="187">
        <v>0</v>
      </c>
      <c r="H13" s="184">
        <v>0</v>
      </c>
      <c r="I13" s="184">
        <f>SUM(I14:I19)</f>
        <v>0</v>
      </c>
      <c r="J13" s="184">
        <f t="shared" si="2"/>
        <v>0</v>
      </c>
      <c r="K13" s="184">
        <f t="shared" si="3"/>
        <v>0</v>
      </c>
      <c r="L13" s="187">
        <v>0</v>
      </c>
      <c r="M13" s="184">
        <v>0</v>
      </c>
      <c r="N13" s="184">
        <f>SUM(N14:N19)</f>
        <v>0</v>
      </c>
      <c r="O13" s="184">
        <f t="shared" si="4"/>
        <v>0</v>
      </c>
      <c r="P13" s="184">
        <f t="shared" si="5"/>
        <v>0</v>
      </c>
      <c r="Q13" s="187">
        <v>0</v>
      </c>
      <c r="R13" s="184">
        <v>0</v>
      </c>
    </row>
    <row r="14" spans="1:18" ht="17.100000000000001" customHeight="1" x14ac:dyDescent="0.3">
      <c r="A14" s="188" t="s">
        <v>57</v>
      </c>
      <c r="B14" s="188" t="s">
        <v>58</v>
      </c>
      <c r="C14" s="189"/>
      <c r="D14" s="186"/>
      <c r="E14" s="186"/>
      <c r="F14" s="186">
        <f t="shared" si="1"/>
        <v>0</v>
      </c>
      <c r="G14" s="186"/>
      <c r="H14" s="186"/>
      <c r="I14" s="186"/>
      <c r="J14" s="186">
        <f t="shared" si="2"/>
        <v>0</v>
      </c>
      <c r="K14" s="186">
        <f t="shared" si="3"/>
        <v>0</v>
      </c>
      <c r="L14" s="186"/>
      <c r="M14" s="186"/>
      <c r="N14" s="186"/>
      <c r="O14" s="186">
        <f t="shared" si="4"/>
        <v>0</v>
      </c>
      <c r="P14" s="186">
        <f t="shared" si="5"/>
        <v>0</v>
      </c>
      <c r="Q14" s="186"/>
      <c r="R14" s="186"/>
    </row>
    <row r="15" spans="1:18" ht="17.100000000000001" customHeight="1" x14ac:dyDescent="0.3">
      <c r="A15" s="188" t="s">
        <v>209</v>
      </c>
      <c r="B15" s="188" t="s">
        <v>60</v>
      </c>
      <c r="C15" s="189"/>
      <c r="D15" s="186"/>
      <c r="E15" s="186"/>
      <c r="F15" s="186">
        <f t="shared" si="1"/>
        <v>0</v>
      </c>
      <c r="G15" s="186"/>
      <c r="H15" s="186"/>
      <c r="I15" s="186"/>
      <c r="J15" s="186">
        <f t="shared" si="2"/>
        <v>0</v>
      </c>
      <c r="K15" s="186">
        <f t="shared" si="3"/>
        <v>0</v>
      </c>
      <c r="L15" s="186"/>
      <c r="M15" s="186"/>
      <c r="N15" s="186"/>
      <c r="O15" s="186">
        <f t="shared" si="4"/>
        <v>0</v>
      </c>
      <c r="P15" s="186">
        <f t="shared" si="5"/>
        <v>0</v>
      </c>
      <c r="Q15" s="186"/>
      <c r="R15" s="186"/>
    </row>
    <row r="16" spans="1:18" ht="17.100000000000001" customHeight="1" x14ac:dyDescent="0.3">
      <c r="A16" s="188" t="s">
        <v>63</v>
      </c>
      <c r="B16" s="188" t="s">
        <v>210</v>
      </c>
      <c r="C16" s="189"/>
      <c r="D16" s="186"/>
      <c r="E16" s="186"/>
      <c r="F16" s="186">
        <f t="shared" si="1"/>
        <v>0</v>
      </c>
      <c r="G16" s="186"/>
      <c r="H16" s="186"/>
      <c r="I16" s="186"/>
      <c r="J16" s="186">
        <f t="shared" si="2"/>
        <v>0</v>
      </c>
      <c r="K16" s="186">
        <f t="shared" si="3"/>
        <v>0</v>
      </c>
      <c r="L16" s="186"/>
      <c r="M16" s="186"/>
      <c r="N16" s="186"/>
      <c r="O16" s="186">
        <f t="shared" si="4"/>
        <v>0</v>
      </c>
      <c r="P16" s="186">
        <f t="shared" si="5"/>
        <v>0</v>
      </c>
      <c r="Q16" s="186"/>
      <c r="R16" s="186"/>
    </row>
    <row r="17" spans="1:18" ht="17.100000000000001" customHeight="1" x14ac:dyDescent="0.3">
      <c r="A17" s="188" t="s">
        <v>65</v>
      </c>
      <c r="B17" s="188" t="s">
        <v>211</v>
      </c>
      <c r="C17" s="189"/>
      <c r="D17" s="186"/>
      <c r="E17" s="186"/>
      <c r="F17" s="186">
        <f t="shared" si="1"/>
        <v>0</v>
      </c>
      <c r="G17" s="186"/>
      <c r="H17" s="186"/>
      <c r="I17" s="186"/>
      <c r="J17" s="186">
        <f t="shared" si="2"/>
        <v>0</v>
      </c>
      <c r="K17" s="186">
        <f t="shared" si="3"/>
        <v>0</v>
      </c>
      <c r="L17" s="186"/>
      <c r="M17" s="186"/>
      <c r="N17" s="186"/>
      <c r="O17" s="186">
        <f t="shared" si="4"/>
        <v>0</v>
      </c>
      <c r="P17" s="186">
        <f t="shared" si="5"/>
        <v>0</v>
      </c>
      <c r="Q17" s="186"/>
      <c r="R17" s="186"/>
    </row>
    <row r="18" spans="1:18" ht="17.100000000000001" customHeight="1" x14ac:dyDescent="0.3">
      <c r="A18" s="188" t="s">
        <v>67</v>
      </c>
      <c r="B18" s="188" t="s">
        <v>68</v>
      </c>
      <c r="C18" s="186"/>
      <c r="D18" s="186"/>
      <c r="E18" s="186"/>
      <c r="F18" s="186">
        <f t="shared" si="1"/>
        <v>0</v>
      </c>
      <c r="G18" s="186"/>
      <c r="H18" s="186"/>
      <c r="I18" s="186"/>
      <c r="J18" s="186">
        <f t="shared" si="2"/>
        <v>0</v>
      </c>
      <c r="K18" s="186">
        <f t="shared" si="3"/>
        <v>0</v>
      </c>
      <c r="L18" s="186"/>
      <c r="M18" s="186"/>
      <c r="N18" s="186"/>
      <c r="O18" s="186">
        <f t="shared" si="4"/>
        <v>0</v>
      </c>
      <c r="P18" s="186">
        <f t="shared" si="5"/>
        <v>0</v>
      </c>
      <c r="Q18" s="186"/>
      <c r="R18" s="186"/>
    </row>
    <row r="19" spans="1:18" ht="17.100000000000001" customHeight="1" x14ac:dyDescent="0.3">
      <c r="A19" s="188" t="s">
        <v>71</v>
      </c>
      <c r="B19" s="188" t="s">
        <v>72</v>
      </c>
      <c r="C19" s="186"/>
      <c r="D19" s="186"/>
      <c r="E19" s="186"/>
      <c r="F19" s="186">
        <f t="shared" si="1"/>
        <v>0</v>
      </c>
      <c r="G19" s="186"/>
      <c r="H19" s="186"/>
      <c r="I19" s="186"/>
      <c r="J19" s="186">
        <f t="shared" si="2"/>
        <v>0</v>
      </c>
      <c r="K19" s="186">
        <f t="shared" si="3"/>
        <v>0</v>
      </c>
      <c r="L19" s="186"/>
      <c r="M19" s="186"/>
      <c r="N19" s="186"/>
      <c r="O19" s="186">
        <f t="shared" si="4"/>
        <v>0</v>
      </c>
      <c r="P19" s="186">
        <f t="shared" si="5"/>
        <v>0</v>
      </c>
      <c r="Q19" s="186"/>
      <c r="R19" s="186"/>
    </row>
    <row r="20" spans="1:18" ht="17.100000000000001" customHeight="1" x14ac:dyDescent="0.3">
      <c r="A20" s="183" t="s">
        <v>73</v>
      </c>
      <c r="B20" s="183" t="s">
        <v>74</v>
      </c>
      <c r="C20" s="184">
        <f>C21</f>
        <v>0</v>
      </c>
      <c r="D20" s="184">
        <f>D21</f>
        <v>0</v>
      </c>
      <c r="E20" s="184">
        <f>E21</f>
        <v>0</v>
      </c>
      <c r="F20" s="184">
        <f t="shared" si="1"/>
        <v>0</v>
      </c>
      <c r="G20" s="184">
        <v>0</v>
      </c>
      <c r="H20" s="184">
        <v>0</v>
      </c>
      <c r="I20" s="184">
        <f>I21</f>
        <v>0</v>
      </c>
      <c r="J20" s="184">
        <f t="shared" si="2"/>
        <v>0</v>
      </c>
      <c r="K20" s="184">
        <f t="shared" si="3"/>
        <v>0</v>
      </c>
      <c r="L20" s="184">
        <v>0</v>
      </c>
      <c r="M20" s="184">
        <v>0</v>
      </c>
      <c r="N20" s="184">
        <f>N21</f>
        <v>0</v>
      </c>
      <c r="O20" s="184">
        <f t="shared" si="4"/>
        <v>0</v>
      </c>
      <c r="P20" s="184">
        <f t="shared" si="5"/>
        <v>0</v>
      </c>
      <c r="Q20" s="184">
        <v>0</v>
      </c>
      <c r="R20" s="184">
        <v>0</v>
      </c>
    </row>
    <row r="21" spans="1:18" ht="17.100000000000001" customHeight="1" x14ac:dyDescent="0.3">
      <c r="A21" s="185" t="s">
        <v>212</v>
      </c>
      <c r="B21" s="185" t="s">
        <v>213</v>
      </c>
      <c r="C21" s="186"/>
      <c r="D21" s="186"/>
      <c r="E21" s="186"/>
      <c r="F21" s="186">
        <f t="shared" si="1"/>
        <v>0</v>
      </c>
      <c r="G21" s="186"/>
      <c r="H21" s="186"/>
      <c r="I21" s="186"/>
      <c r="J21" s="186">
        <f t="shared" si="2"/>
        <v>0</v>
      </c>
      <c r="K21" s="186">
        <f t="shared" si="3"/>
        <v>0</v>
      </c>
      <c r="L21" s="186"/>
      <c r="M21" s="186"/>
      <c r="N21" s="186"/>
      <c r="O21" s="186">
        <f t="shared" si="4"/>
        <v>0</v>
      </c>
      <c r="P21" s="186">
        <f t="shared" si="5"/>
        <v>0</v>
      </c>
      <c r="Q21" s="186"/>
      <c r="R21" s="186"/>
    </row>
    <row r="22" spans="1:18" ht="17.100000000000001" customHeight="1" x14ac:dyDescent="0.3">
      <c r="A22" s="183" t="s">
        <v>214</v>
      </c>
      <c r="B22" s="183" t="s">
        <v>86</v>
      </c>
      <c r="C22" s="187">
        <f>C11+C13+C20</f>
        <v>600000</v>
      </c>
      <c r="D22" s="187">
        <f>D11+D13+D20</f>
        <v>680000</v>
      </c>
      <c r="E22" s="187">
        <f>E11+E13+E20+E9</f>
        <v>1186000</v>
      </c>
      <c r="F22" s="187">
        <f t="shared" si="1"/>
        <v>1186000</v>
      </c>
      <c r="G22" s="187">
        <v>0</v>
      </c>
      <c r="H22" s="187">
        <f>H11+H13+H20</f>
        <v>0</v>
      </c>
      <c r="I22" s="187">
        <f>I11+I13+I20+I9</f>
        <v>0</v>
      </c>
      <c r="J22" s="187">
        <f t="shared" si="2"/>
        <v>1186000</v>
      </c>
      <c r="K22" s="187">
        <f t="shared" si="3"/>
        <v>1186000</v>
      </c>
      <c r="L22" s="187">
        <v>0</v>
      </c>
      <c r="M22" s="187">
        <f>M11+M13+M20</f>
        <v>0</v>
      </c>
      <c r="N22" s="187">
        <f>N11+N13+N20+N9</f>
        <v>0</v>
      </c>
      <c r="O22" s="187">
        <f t="shared" si="4"/>
        <v>1186000</v>
      </c>
      <c r="P22" s="187">
        <f t="shared" si="5"/>
        <v>1186000</v>
      </c>
      <c r="Q22" s="187">
        <v>0</v>
      </c>
      <c r="R22" s="187">
        <f>R11+R13+R20</f>
        <v>0</v>
      </c>
    </row>
    <row r="23" spans="1:18" ht="17.100000000000001" customHeight="1" x14ac:dyDescent="0.3">
      <c r="A23" s="183" t="s">
        <v>87</v>
      </c>
      <c r="B23" s="183" t="s">
        <v>88</v>
      </c>
      <c r="C23" s="187">
        <f>SUM(C24:C25)</f>
        <v>46492000</v>
      </c>
      <c r="D23" s="187">
        <f t="shared" ref="D23:F23" si="6">SUM(D24:D25)</f>
        <v>42866287</v>
      </c>
      <c r="E23" s="187">
        <f t="shared" si="6"/>
        <v>54439000</v>
      </c>
      <c r="F23" s="187">
        <f t="shared" si="6"/>
        <v>54439000</v>
      </c>
      <c r="G23" s="190">
        <v>0</v>
      </c>
      <c r="H23" s="190">
        <v>0</v>
      </c>
      <c r="I23" s="187">
        <f t="shared" ref="I23" si="7">SUM(I24:I25)</f>
        <v>0</v>
      </c>
      <c r="J23" s="187">
        <f t="shared" si="2"/>
        <v>54439000</v>
      </c>
      <c r="K23" s="187">
        <f t="shared" si="3"/>
        <v>54439000</v>
      </c>
      <c r="L23" s="190">
        <v>0</v>
      </c>
      <c r="M23" s="190">
        <v>0</v>
      </c>
      <c r="N23" s="187">
        <f t="shared" ref="N23" si="8">SUM(N24:N25)</f>
        <v>0</v>
      </c>
      <c r="O23" s="187">
        <f t="shared" si="4"/>
        <v>54439000</v>
      </c>
      <c r="P23" s="187">
        <f t="shared" si="5"/>
        <v>54439000</v>
      </c>
      <c r="Q23" s="190">
        <v>0</v>
      </c>
      <c r="R23" s="190">
        <v>0</v>
      </c>
    </row>
    <row r="24" spans="1:18" ht="17.100000000000001" customHeight="1" x14ac:dyDescent="0.3">
      <c r="A24" s="188" t="s">
        <v>93</v>
      </c>
      <c r="B24" s="188" t="s">
        <v>94</v>
      </c>
      <c r="C24" s="189"/>
      <c r="D24" s="186"/>
      <c r="E24" s="186"/>
      <c r="F24" s="186">
        <f t="shared" si="1"/>
        <v>0</v>
      </c>
      <c r="G24" s="186"/>
      <c r="H24" s="186"/>
      <c r="I24" s="186"/>
      <c r="J24" s="186">
        <f t="shared" si="2"/>
        <v>0</v>
      </c>
      <c r="K24" s="186">
        <f t="shared" si="3"/>
        <v>0</v>
      </c>
      <c r="L24" s="186"/>
      <c r="M24" s="186"/>
      <c r="N24" s="186"/>
      <c r="O24" s="186">
        <f t="shared" si="4"/>
        <v>0</v>
      </c>
      <c r="P24" s="186">
        <f t="shared" si="5"/>
        <v>0</v>
      </c>
      <c r="Q24" s="186"/>
      <c r="R24" s="186"/>
    </row>
    <row r="25" spans="1:18" ht="17.100000000000001" customHeight="1" x14ac:dyDescent="0.3">
      <c r="A25" s="185" t="s">
        <v>215</v>
      </c>
      <c r="B25" s="185" t="s">
        <v>12</v>
      </c>
      <c r="C25" s="186">
        <v>46492000</v>
      </c>
      <c r="D25" s="186">
        <v>42866287</v>
      </c>
      <c r="E25" s="186">
        <v>54439000</v>
      </c>
      <c r="F25" s="186">
        <f t="shared" si="1"/>
        <v>54439000</v>
      </c>
      <c r="G25" s="186"/>
      <c r="H25" s="186"/>
      <c r="I25" s="186"/>
      <c r="J25" s="186">
        <f t="shared" si="2"/>
        <v>54439000</v>
      </c>
      <c r="K25" s="186">
        <f t="shared" si="3"/>
        <v>54439000</v>
      </c>
      <c r="L25" s="186"/>
      <c r="M25" s="186"/>
      <c r="N25" s="186"/>
      <c r="O25" s="186">
        <f t="shared" si="4"/>
        <v>54439000</v>
      </c>
      <c r="P25" s="186">
        <f t="shared" si="5"/>
        <v>54439000</v>
      </c>
      <c r="Q25" s="186"/>
      <c r="R25" s="186"/>
    </row>
    <row r="26" spans="1:18" ht="33" customHeight="1" x14ac:dyDescent="0.25">
      <c r="A26" s="315" t="s">
        <v>396</v>
      </c>
      <c r="B26" s="310"/>
      <c r="C26" s="191">
        <f>C23+C22</f>
        <v>47092000</v>
      </c>
      <c r="D26" s="192">
        <f>D22+D23</f>
        <v>43546287</v>
      </c>
      <c r="E26" s="192">
        <f>E22+E23</f>
        <v>55625000</v>
      </c>
      <c r="F26" s="192">
        <f t="shared" si="1"/>
        <v>55625000</v>
      </c>
      <c r="G26" s="192">
        <f>G22+G23</f>
        <v>0</v>
      </c>
      <c r="H26" s="192">
        <f>H22+H23</f>
        <v>0</v>
      </c>
      <c r="I26" s="192">
        <f>I22+I23</f>
        <v>0</v>
      </c>
      <c r="J26" s="192">
        <f t="shared" si="2"/>
        <v>55625000</v>
      </c>
      <c r="K26" s="192">
        <f t="shared" si="3"/>
        <v>55625000</v>
      </c>
      <c r="L26" s="192">
        <f>L22+L23</f>
        <v>0</v>
      </c>
      <c r="M26" s="192">
        <f>M22+M23</f>
        <v>0</v>
      </c>
      <c r="N26" s="192">
        <f>N22+N23</f>
        <v>0</v>
      </c>
      <c r="O26" s="192">
        <f t="shared" si="4"/>
        <v>55625000</v>
      </c>
      <c r="P26" s="192">
        <f t="shared" si="5"/>
        <v>55625000</v>
      </c>
      <c r="Q26" s="192">
        <f>Q22+Q23</f>
        <v>0</v>
      </c>
      <c r="R26" s="192">
        <f>R22+R23</f>
        <v>0</v>
      </c>
    </row>
    <row r="27" spans="1:18" ht="17.100000000000001" customHeight="1" x14ac:dyDescent="0.3">
      <c r="A27" s="193"/>
      <c r="B27" s="193"/>
      <c r="C27" s="194"/>
      <c r="D27" s="195"/>
      <c r="E27" s="196"/>
      <c r="F27" s="194"/>
      <c r="G27" s="195"/>
      <c r="H27" s="195"/>
      <c r="I27" s="196"/>
      <c r="J27" s="196"/>
      <c r="K27" s="194"/>
      <c r="L27" s="195"/>
      <c r="M27" s="195"/>
      <c r="N27" s="196"/>
      <c r="O27" s="196"/>
      <c r="P27" s="194"/>
      <c r="Q27" s="195"/>
      <c r="R27" s="195"/>
    </row>
    <row r="28" spans="1:18" ht="17.100000000000001" customHeight="1" x14ac:dyDescent="0.3">
      <c r="A28" s="197"/>
      <c r="B28" s="198"/>
      <c r="C28" s="199"/>
      <c r="D28" s="200"/>
      <c r="E28" s="196"/>
      <c r="F28" s="199"/>
      <c r="G28" s="200"/>
      <c r="H28" s="200"/>
      <c r="I28" s="196"/>
      <c r="J28" s="196"/>
      <c r="K28" s="199"/>
      <c r="L28" s="200"/>
      <c r="M28" s="200"/>
      <c r="N28" s="196"/>
      <c r="O28" s="196"/>
      <c r="P28" s="199"/>
      <c r="Q28" s="200"/>
      <c r="R28" s="200"/>
    </row>
    <row r="29" spans="1:18" ht="17.100000000000001" customHeight="1" x14ac:dyDescent="0.25">
      <c r="A29" s="312" t="str">
        <f>A7</f>
        <v>Rovatszám</v>
      </c>
      <c r="B29" s="312" t="s">
        <v>217</v>
      </c>
      <c r="C29" s="312" t="str">
        <f>C7</f>
        <v>Módosított előirányzat        2021.</v>
      </c>
      <c r="D29" s="312" t="str">
        <f>D7</f>
        <v>Várható teljesítés 2021.</v>
      </c>
      <c r="E29" s="312" t="str">
        <f>E7</f>
        <v>Eredeti előirányzat       2022.</v>
      </c>
      <c r="F29" s="312" t="str">
        <f>F7</f>
        <v>Eredeti előirányzat 2022.</v>
      </c>
      <c r="G29" s="312"/>
      <c r="H29" s="312"/>
      <c r="I29" s="312" t="s">
        <v>511</v>
      </c>
      <c r="J29" s="312" t="s">
        <v>530</v>
      </c>
      <c r="K29" s="312" t="s">
        <v>512</v>
      </c>
      <c r="L29" s="312"/>
      <c r="M29" s="312"/>
      <c r="N29" s="312" t="s">
        <v>531</v>
      </c>
      <c r="O29" s="312" t="s">
        <v>541</v>
      </c>
      <c r="P29" s="312" t="s">
        <v>532</v>
      </c>
      <c r="Q29" s="312"/>
      <c r="R29" s="312"/>
    </row>
    <row r="30" spans="1:18" ht="47.85" customHeight="1" x14ac:dyDescent="0.25">
      <c r="A30" s="312"/>
      <c r="B30" s="312"/>
      <c r="C30" s="312"/>
      <c r="D30" s="312"/>
      <c r="E30" s="312"/>
      <c r="F30" s="240" t="str">
        <f>F8</f>
        <v>Kötelező feladatok</v>
      </c>
      <c r="G30" s="240" t="str">
        <f>G8</f>
        <v>Önként vállalt feladatok</v>
      </c>
      <c r="H30" s="240" t="str">
        <f>H8</f>
        <v>Államigaz-gatási feladatok</v>
      </c>
      <c r="I30" s="312"/>
      <c r="J30" s="312"/>
      <c r="K30" s="240" t="s">
        <v>204</v>
      </c>
      <c r="L30" s="240" t="s">
        <v>205</v>
      </c>
      <c r="M30" s="240" t="s">
        <v>359</v>
      </c>
      <c r="N30" s="312"/>
      <c r="O30" s="312"/>
      <c r="P30" s="240" t="s">
        <v>204</v>
      </c>
      <c r="Q30" s="240" t="s">
        <v>205</v>
      </c>
      <c r="R30" s="240" t="s">
        <v>359</v>
      </c>
    </row>
    <row r="31" spans="1:18" ht="17.100000000000001" customHeight="1" x14ac:dyDescent="0.3">
      <c r="A31" s="183" t="s">
        <v>97</v>
      </c>
      <c r="B31" s="183" t="s">
        <v>98</v>
      </c>
      <c r="C31" s="201">
        <f>SUM(C32:C33)</f>
        <v>35650000</v>
      </c>
      <c r="D31" s="201">
        <f>SUM(D32:D33)</f>
        <v>35142034</v>
      </c>
      <c r="E31" s="202">
        <f>SUM(E32:E33)</f>
        <v>43368000</v>
      </c>
      <c r="F31" s="202">
        <f>E31</f>
        <v>43368000</v>
      </c>
      <c r="G31" s="201">
        <f>SUM(G32:G33)</f>
        <v>0</v>
      </c>
      <c r="H31" s="202">
        <v>0</v>
      </c>
      <c r="I31" s="202">
        <f>SUM(I32:I33)</f>
        <v>0</v>
      </c>
      <c r="J31" s="202">
        <f>E31+I31</f>
        <v>43368000</v>
      </c>
      <c r="K31" s="202">
        <f>J31</f>
        <v>43368000</v>
      </c>
      <c r="L31" s="201">
        <f>SUM(L32:L33)</f>
        <v>0</v>
      </c>
      <c r="M31" s="202">
        <v>0</v>
      </c>
      <c r="N31" s="202">
        <f>SUM(N32:N33)</f>
        <v>0</v>
      </c>
      <c r="O31" s="202">
        <f>J31+N31</f>
        <v>43368000</v>
      </c>
      <c r="P31" s="202">
        <f>O31</f>
        <v>43368000</v>
      </c>
      <c r="Q31" s="201">
        <f>SUM(Q32:Q33)</f>
        <v>0</v>
      </c>
      <c r="R31" s="202">
        <v>0</v>
      </c>
    </row>
    <row r="32" spans="1:18" ht="17.100000000000001" customHeight="1" x14ac:dyDescent="0.3">
      <c r="A32" s="188" t="s">
        <v>99</v>
      </c>
      <c r="B32" s="188" t="s">
        <v>100</v>
      </c>
      <c r="C32" s="206">
        <v>34800000</v>
      </c>
      <c r="D32" s="203">
        <v>34962034</v>
      </c>
      <c r="E32" s="203">
        <v>41988000</v>
      </c>
      <c r="F32" s="203">
        <f t="shared" ref="F32:F48" si="9">E32</f>
        <v>41988000</v>
      </c>
      <c r="G32" s="203"/>
      <c r="H32" s="203"/>
      <c r="I32" s="203">
        <f>60000</f>
        <v>60000</v>
      </c>
      <c r="J32" s="203">
        <f t="shared" ref="J32:J48" si="10">E32+I32</f>
        <v>42048000</v>
      </c>
      <c r="K32" s="203">
        <f t="shared" ref="K32:K48" si="11">J32</f>
        <v>42048000</v>
      </c>
      <c r="L32" s="203"/>
      <c r="M32" s="203"/>
      <c r="N32" s="203"/>
      <c r="O32" s="203">
        <f t="shared" ref="O32:O48" si="12">J32+N32</f>
        <v>42048000</v>
      </c>
      <c r="P32" s="203">
        <f t="shared" ref="P32:P48" si="13">O32</f>
        <v>42048000</v>
      </c>
      <c r="Q32" s="203"/>
      <c r="R32" s="203"/>
    </row>
    <row r="33" spans="1:18" ht="17.100000000000001" customHeight="1" x14ac:dyDescent="0.3">
      <c r="A33" s="188" t="s">
        <v>113</v>
      </c>
      <c r="B33" s="188" t="s">
        <v>114</v>
      </c>
      <c r="C33" s="206">
        <v>850000</v>
      </c>
      <c r="D33" s="203">
        <v>180000</v>
      </c>
      <c r="E33" s="203">
        <v>1380000</v>
      </c>
      <c r="F33" s="203">
        <f t="shared" si="9"/>
        <v>1380000</v>
      </c>
      <c r="G33" s="203"/>
      <c r="H33" s="203"/>
      <c r="I33" s="203">
        <f>250000-310000</f>
        <v>-60000</v>
      </c>
      <c r="J33" s="203">
        <f t="shared" si="10"/>
        <v>1320000</v>
      </c>
      <c r="K33" s="203">
        <f t="shared" si="11"/>
        <v>1320000</v>
      </c>
      <c r="L33" s="203"/>
      <c r="M33" s="203"/>
      <c r="N33" s="203"/>
      <c r="O33" s="203">
        <f t="shared" si="12"/>
        <v>1320000</v>
      </c>
      <c r="P33" s="203">
        <f t="shared" si="13"/>
        <v>1320000</v>
      </c>
      <c r="Q33" s="203"/>
      <c r="R33" s="203"/>
    </row>
    <row r="34" spans="1:18" ht="17.100000000000001" customHeight="1" x14ac:dyDescent="0.3">
      <c r="A34" s="183" t="s">
        <v>120</v>
      </c>
      <c r="B34" s="183" t="s">
        <v>121</v>
      </c>
      <c r="C34" s="219">
        <v>5495000</v>
      </c>
      <c r="D34" s="204">
        <v>4739435</v>
      </c>
      <c r="E34" s="204">
        <v>6100000</v>
      </c>
      <c r="F34" s="204">
        <f t="shared" si="9"/>
        <v>6100000</v>
      </c>
      <c r="G34" s="204"/>
      <c r="H34" s="204"/>
      <c r="I34" s="204"/>
      <c r="J34" s="204">
        <f t="shared" si="10"/>
        <v>6100000</v>
      </c>
      <c r="K34" s="204">
        <f t="shared" si="11"/>
        <v>6100000</v>
      </c>
      <c r="L34" s="204"/>
      <c r="M34" s="204"/>
      <c r="N34" s="204"/>
      <c r="O34" s="204">
        <f t="shared" si="12"/>
        <v>6100000</v>
      </c>
      <c r="P34" s="204">
        <f t="shared" si="13"/>
        <v>6100000</v>
      </c>
      <c r="Q34" s="204"/>
      <c r="R34" s="204"/>
    </row>
    <row r="35" spans="1:18" ht="17.100000000000001" customHeight="1" x14ac:dyDescent="0.3">
      <c r="A35" s="183" t="s">
        <v>122</v>
      </c>
      <c r="B35" s="183" t="s">
        <v>123</v>
      </c>
      <c r="C35" s="201">
        <f>SUM(C36:C40)</f>
        <v>5820000</v>
      </c>
      <c r="D35" s="205">
        <f>SUM(D36:D40)</f>
        <v>3664818</v>
      </c>
      <c r="E35" s="205">
        <f>SUM(E36:E40)</f>
        <v>6030000</v>
      </c>
      <c r="F35" s="205">
        <f t="shared" si="9"/>
        <v>6030000</v>
      </c>
      <c r="G35" s="205">
        <v>0</v>
      </c>
      <c r="H35" s="205">
        <v>0</v>
      </c>
      <c r="I35" s="205">
        <f>SUM(I36:I40)</f>
        <v>0</v>
      </c>
      <c r="J35" s="205">
        <f t="shared" si="10"/>
        <v>6030000</v>
      </c>
      <c r="K35" s="205">
        <f t="shared" si="11"/>
        <v>6030000</v>
      </c>
      <c r="L35" s="205">
        <v>0</v>
      </c>
      <c r="M35" s="205">
        <v>0</v>
      </c>
      <c r="N35" s="205">
        <f>SUM(N36:N40)</f>
        <v>0</v>
      </c>
      <c r="O35" s="205">
        <f t="shared" si="12"/>
        <v>6030000</v>
      </c>
      <c r="P35" s="205">
        <f t="shared" si="13"/>
        <v>6030000</v>
      </c>
      <c r="Q35" s="205">
        <v>0</v>
      </c>
      <c r="R35" s="205">
        <v>0</v>
      </c>
    </row>
    <row r="36" spans="1:18" ht="17.100000000000001" customHeight="1" x14ac:dyDescent="0.3">
      <c r="A36" s="188" t="s">
        <v>124</v>
      </c>
      <c r="B36" s="188" t="s">
        <v>125</v>
      </c>
      <c r="C36" s="206">
        <v>910000</v>
      </c>
      <c r="D36" s="203">
        <v>194255</v>
      </c>
      <c r="E36" s="203">
        <v>1075000</v>
      </c>
      <c r="F36" s="203">
        <f t="shared" si="9"/>
        <v>1075000</v>
      </c>
      <c r="G36" s="203"/>
      <c r="H36" s="203"/>
      <c r="I36" s="203"/>
      <c r="J36" s="203">
        <f t="shared" si="10"/>
        <v>1075000</v>
      </c>
      <c r="K36" s="203">
        <f t="shared" si="11"/>
        <v>1075000</v>
      </c>
      <c r="L36" s="203"/>
      <c r="M36" s="203"/>
      <c r="N36" s="203"/>
      <c r="O36" s="203">
        <f t="shared" si="12"/>
        <v>1075000</v>
      </c>
      <c r="P36" s="203">
        <f t="shared" si="13"/>
        <v>1075000</v>
      </c>
      <c r="Q36" s="203"/>
      <c r="R36" s="203"/>
    </row>
    <row r="37" spans="1:18" ht="17.100000000000001" customHeight="1" x14ac:dyDescent="0.3">
      <c r="A37" s="188" t="s">
        <v>130</v>
      </c>
      <c r="B37" s="188" t="s">
        <v>131</v>
      </c>
      <c r="C37" s="206">
        <v>600000</v>
      </c>
      <c r="D37" s="203">
        <v>477120</v>
      </c>
      <c r="E37" s="203">
        <v>600000</v>
      </c>
      <c r="F37" s="203">
        <f t="shared" si="9"/>
        <v>600000</v>
      </c>
      <c r="G37" s="203"/>
      <c r="H37" s="203"/>
      <c r="I37" s="203"/>
      <c r="J37" s="203">
        <f t="shared" si="10"/>
        <v>600000</v>
      </c>
      <c r="K37" s="203">
        <f t="shared" si="11"/>
        <v>600000</v>
      </c>
      <c r="L37" s="203"/>
      <c r="M37" s="203"/>
      <c r="N37" s="203"/>
      <c r="O37" s="203">
        <f t="shared" si="12"/>
        <v>600000</v>
      </c>
      <c r="P37" s="203">
        <f t="shared" si="13"/>
        <v>600000</v>
      </c>
      <c r="Q37" s="203"/>
      <c r="R37" s="203"/>
    </row>
    <row r="38" spans="1:18" ht="17.100000000000001" customHeight="1" x14ac:dyDescent="0.3">
      <c r="A38" s="188" t="s">
        <v>136</v>
      </c>
      <c r="B38" s="188" t="s">
        <v>137</v>
      </c>
      <c r="C38" s="206">
        <v>2900000</v>
      </c>
      <c r="D38" s="203">
        <v>2513186</v>
      </c>
      <c r="E38" s="203">
        <v>2900000</v>
      </c>
      <c r="F38" s="203">
        <f t="shared" si="9"/>
        <v>2900000</v>
      </c>
      <c r="G38" s="203"/>
      <c r="H38" s="203"/>
      <c r="I38" s="203"/>
      <c r="J38" s="203">
        <f t="shared" si="10"/>
        <v>2900000</v>
      </c>
      <c r="K38" s="203">
        <f t="shared" si="11"/>
        <v>2900000</v>
      </c>
      <c r="L38" s="203"/>
      <c r="M38" s="203"/>
      <c r="N38" s="203"/>
      <c r="O38" s="203">
        <f t="shared" si="12"/>
        <v>2900000</v>
      </c>
      <c r="P38" s="203">
        <f t="shared" si="13"/>
        <v>2900000</v>
      </c>
      <c r="Q38" s="203"/>
      <c r="R38" s="203"/>
    </row>
    <row r="39" spans="1:18" ht="17.100000000000001" customHeight="1" x14ac:dyDescent="0.3">
      <c r="A39" s="188" t="s">
        <v>150</v>
      </c>
      <c r="B39" s="188" t="s">
        <v>151</v>
      </c>
      <c r="C39" s="206">
        <v>600000</v>
      </c>
      <c r="D39" s="203">
        <v>178449</v>
      </c>
      <c r="E39" s="203">
        <v>600000</v>
      </c>
      <c r="F39" s="203">
        <f t="shared" si="9"/>
        <v>600000</v>
      </c>
      <c r="G39" s="203"/>
      <c r="H39" s="203"/>
      <c r="I39" s="203"/>
      <c r="J39" s="203">
        <f t="shared" si="10"/>
        <v>600000</v>
      </c>
      <c r="K39" s="203">
        <f t="shared" si="11"/>
        <v>600000</v>
      </c>
      <c r="L39" s="203"/>
      <c r="M39" s="203"/>
      <c r="N39" s="203"/>
      <c r="O39" s="203">
        <f t="shared" si="12"/>
        <v>600000</v>
      </c>
      <c r="P39" s="203">
        <f t="shared" si="13"/>
        <v>600000</v>
      </c>
      <c r="Q39" s="203"/>
      <c r="R39" s="203"/>
    </row>
    <row r="40" spans="1:18" ht="17.100000000000001" customHeight="1" x14ac:dyDescent="0.3">
      <c r="A40" s="188" t="s">
        <v>152</v>
      </c>
      <c r="B40" s="188" t="s">
        <v>153</v>
      </c>
      <c r="C40" s="206">
        <v>810000</v>
      </c>
      <c r="D40" s="203">
        <v>301808</v>
      </c>
      <c r="E40" s="203">
        <v>855000</v>
      </c>
      <c r="F40" s="203">
        <f t="shared" si="9"/>
        <v>855000</v>
      </c>
      <c r="G40" s="203"/>
      <c r="H40" s="203"/>
      <c r="I40" s="203"/>
      <c r="J40" s="203">
        <f t="shared" si="10"/>
        <v>855000</v>
      </c>
      <c r="K40" s="203">
        <f t="shared" si="11"/>
        <v>855000</v>
      </c>
      <c r="L40" s="203"/>
      <c r="M40" s="203"/>
      <c r="N40" s="203"/>
      <c r="O40" s="203">
        <f t="shared" si="12"/>
        <v>855000</v>
      </c>
      <c r="P40" s="203">
        <f t="shared" si="13"/>
        <v>855000</v>
      </c>
      <c r="Q40" s="203"/>
      <c r="R40" s="203"/>
    </row>
    <row r="41" spans="1:18" ht="17.100000000000001" customHeight="1" x14ac:dyDescent="0.3">
      <c r="A41" s="183" t="s">
        <v>166</v>
      </c>
      <c r="B41" s="183" t="s">
        <v>167</v>
      </c>
      <c r="C41" s="204">
        <f t="shared" ref="C41:R41" si="14">SUM(C42)</f>
        <v>0</v>
      </c>
      <c r="D41" s="204">
        <f t="shared" si="14"/>
        <v>0</v>
      </c>
      <c r="E41" s="204">
        <f t="shared" si="14"/>
        <v>0</v>
      </c>
      <c r="F41" s="204">
        <f t="shared" si="9"/>
        <v>0</v>
      </c>
      <c r="G41" s="204">
        <f t="shared" si="14"/>
        <v>0</v>
      </c>
      <c r="H41" s="204">
        <f t="shared" si="14"/>
        <v>0</v>
      </c>
      <c r="I41" s="204">
        <f t="shared" si="14"/>
        <v>0</v>
      </c>
      <c r="J41" s="204">
        <f t="shared" si="10"/>
        <v>0</v>
      </c>
      <c r="K41" s="204">
        <f t="shared" si="11"/>
        <v>0</v>
      </c>
      <c r="L41" s="204">
        <f t="shared" si="14"/>
        <v>0</v>
      </c>
      <c r="M41" s="204">
        <f t="shared" si="14"/>
        <v>0</v>
      </c>
      <c r="N41" s="204">
        <f t="shared" si="14"/>
        <v>0</v>
      </c>
      <c r="O41" s="204">
        <f t="shared" si="12"/>
        <v>0</v>
      </c>
      <c r="P41" s="204">
        <f t="shared" si="13"/>
        <v>0</v>
      </c>
      <c r="Q41" s="204">
        <f t="shared" si="14"/>
        <v>0</v>
      </c>
      <c r="R41" s="204">
        <f t="shared" si="14"/>
        <v>0</v>
      </c>
    </row>
    <row r="42" spans="1:18" ht="17.100000000000001" customHeight="1" x14ac:dyDescent="0.3">
      <c r="A42" s="188" t="s">
        <v>174</v>
      </c>
      <c r="B42" s="188" t="s">
        <v>218</v>
      </c>
      <c r="C42" s="206"/>
      <c r="D42" s="203"/>
      <c r="E42" s="203"/>
      <c r="F42" s="203">
        <f t="shared" si="9"/>
        <v>0</v>
      </c>
      <c r="G42" s="203"/>
      <c r="H42" s="203"/>
      <c r="I42" s="203"/>
      <c r="J42" s="203">
        <f t="shared" si="10"/>
        <v>0</v>
      </c>
      <c r="K42" s="203">
        <f t="shared" si="11"/>
        <v>0</v>
      </c>
      <c r="L42" s="203"/>
      <c r="M42" s="203"/>
      <c r="N42" s="203"/>
      <c r="O42" s="203">
        <f t="shared" si="12"/>
        <v>0</v>
      </c>
      <c r="P42" s="203">
        <f t="shared" si="13"/>
        <v>0</v>
      </c>
      <c r="Q42" s="203"/>
      <c r="R42" s="203"/>
    </row>
    <row r="43" spans="1:18" ht="17.100000000000001" customHeight="1" x14ac:dyDescent="0.3">
      <c r="A43" s="183" t="s">
        <v>219</v>
      </c>
      <c r="B43" s="183" t="s">
        <v>179</v>
      </c>
      <c r="C43" s="201">
        <f>SUM(C46:C47)</f>
        <v>127000</v>
      </c>
      <c r="D43" s="201">
        <f>SUM(D46:D47)</f>
        <v>0</v>
      </c>
      <c r="E43" s="201">
        <f>SUM(E44:E47)</f>
        <v>127000</v>
      </c>
      <c r="F43" s="201">
        <f t="shared" si="9"/>
        <v>127000</v>
      </c>
      <c r="G43" s="201">
        <v>0</v>
      </c>
      <c r="H43" s="201">
        <v>0</v>
      </c>
      <c r="I43" s="201">
        <f>SUM(I44:I47)</f>
        <v>0</v>
      </c>
      <c r="J43" s="201">
        <f t="shared" si="10"/>
        <v>127000</v>
      </c>
      <c r="K43" s="201">
        <f t="shared" si="11"/>
        <v>127000</v>
      </c>
      <c r="L43" s="201">
        <v>0</v>
      </c>
      <c r="M43" s="201">
        <v>0</v>
      </c>
      <c r="N43" s="201">
        <f>SUM(N44:N47)</f>
        <v>0</v>
      </c>
      <c r="O43" s="201">
        <f t="shared" si="12"/>
        <v>127000</v>
      </c>
      <c r="P43" s="201">
        <f t="shared" si="13"/>
        <v>127000</v>
      </c>
      <c r="Q43" s="201">
        <v>0</v>
      </c>
      <c r="R43" s="201">
        <v>0</v>
      </c>
    </row>
    <row r="44" spans="1:18" ht="17.100000000000001" customHeight="1" x14ac:dyDescent="0.3">
      <c r="A44" s="183" t="s">
        <v>3</v>
      </c>
      <c r="B44" s="23" t="s">
        <v>4</v>
      </c>
      <c r="C44" s="201"/>
      <c r="D44" s="201"/>
      <c r="E44" s="201"/>
      <c r="F44" s="201">
        <f t="shared" si="9"/>
        <v>0</v>
      </c>
      <c r="G44" s="201"/>
      <c r="H44" s="201"/>
      <c r="I44" s="201"/>
      <c r="J44" s="201">
        <f t="shared" si="10"/>
        <v>0</v>
      </c>
      <c r="K44" s="201">
        <f t="shared" si="11"/>
        <v>0</v>
      </c>
      <c r="L44" s="201"/>
      <c r="M44" s="201"/>
      <c r="N44" s="201"/>
      <c r="O44" s="201">
        <f t="shared" si="12"/>
        <v>0</v>
      </c>
      <c r="P44" s="201">
        <f t="shared" si="13"/>
        <v>0</v>
      </c>
      <c r="Q44" s="201"/>
      <c r="R44" s="201"/>
    </row>
    <row r="45" spans="1:18" ht="17.100000000000001" customHeight="1" x14ac:dyDescent="0.3">
      <c r="A45" s="183" t="s">
        <v>430</v>
      </c>
      <c r="B45" s="23" t="s">
        <v>431</v>
      </c>
      <c r="C45" s="201"/>
      <c r="D45" s="201"/>
      <c r="E45" s="201"/>
      <c r="F45" s="201">
        <f t="shared" si="9"/>
        <v>0</v>
      </c>
      <c r="G45" s="201"/>
      <c r="H45" s="201"/>
      <c r="I45" s="201"/>
      <c r="J45" s="201">
        <f t="shared" si="10"/>
        <v>0</v>
      </c>
      <c r="K45" s="201">
        <f t="shared" si="11"/>
        <v>0</v>
      </c>
      <c r="L45" s="201"/>
      <c r="M45" s="201"/>
      <c r="N45" s="201"/>
      <c r="O45" s="201">
        <f t="shared" si="12"/>
        <v>0</v>
      </c>
      <c r="P45" s="201">
        <f t="shared" si="13"/>
        <v>0</v>
      </c>
      <c r="Q45" s="201"/>
      <c r="R45" s="201"/>
    </row>
    <row r="46" spans="1:18" ht="17.100000000000001" customHeight="1" x14ac:dyDescent="0.3">
      <c r="A46" s="188" t="s">
        <v>182</v>
      </c>
      <c r="B46" s="188" t="s">
        <v>220</v>
      </c>
      <c r="C46" s="206">
        <v>100000</v>
      </c>
      <c r="D46" s="203"/>
      <c r="E46" s="203">
        <v>100000</v>
      </c>
      <c r="F46" s="203">
        <f t="shared" si="9"/>
        <v>100000</v>
      </c>
      <c r="G46" s="203"/>
      <c r="H46" s="203"/>
      <c r="I46" s="203"/>
      <c r="J46" s="203">
        <f t="shared" si="10"/>
        <v>100000</v>
      </c>
      <c r="K46" s="203">
        <f t="shared" si="11"/>
        <v>100000</v>
      </c>
      <c r="L46" s="203"/>
      <c r="M46" s="203"/>
      <c r="N46" s="203"/>
      <c r="O46" s="203">
        <f t="shared" si="12"/>
        <v>100000</v>
      </c>
      <c r="P46" s="203">
        <f t="shared" si="13"/>
        <v>100000</v>
      </c>
      <c r="Q46" s="203"/>
      <c r="R46" s="203"/>
    </row>
    <row r="47" spans="1:18" ht="17.100000000000001" customHeight="1" x14ac:dyDescent="0.3">
      <c r="A47" s="188" t="s">
        <v>184</v>
      </c>
      <c r="B47" s="188" t="s">
        <v>221</v>
      </c>
      <c r="C47" s="206">
        <v>27000</v>
      </c>
      <c r="D47" s="203"/>
      <c r="E47" s="203">
        <v>27000</v>
      </c>
      <c r="F47" s="203">
        <f t="shared" si="9"/>
        <v>27000</v>
      </c>
      <c r="G47" s="203"/>
      <c r="H47" s="203"/>
      <c r="I47" s="203"/>
      <c r="J47" s="203">
        <f t="shared" si="10"/>
        <v>27000</v>
      </c>
      <c r="K47" s="203">
        <f t="shared" si="11"/>
        <v>27000</v>
      </c>
      <c r="L47" s="203"/>
      <c r="M47" s="203"/>
      <c r="N47" s="203"/>
      <c r="O47" s="203">
        <f t="shared" si="12"/>
        <v>27000</v>
      </c>
      <c r="P47" s="203">
        <f t="shared" si="13"/>
        <v>27000</v>
      </c>
      <c r="Q47" s="203"/>
      <c r="R47" s="203"/>
    </row>
    <row r="48" spans="1:18" ht="33" customHeight="1" x14ac:dyDescent="0.25">
      <c r="A48" s="315" t="s">
        <v>397</v>
      </c>
      <c r="B48" s="310"/>
      <c r="C48" s="207">
        <f t="shared" ref="C48:H48" si="15">C31+C34+C35+C43+C41</f>
        <v>47092000</v>
      </c>
      <c r="D48" s="207">
        <f t="shared" si="15"/>
        <v>43546287</v>
      </c>
      <c r="E48" s="192">
        <f t="shared" si="15"/>
        <v>55625000</v>
      </c>
      <c r="F48" s="192">
        <f t="shared" si="9"/>
        <v>55625000</v>
      </c>
      <c r="G48" s="207">
        <f t="shared" si="15"/>
        <v>0</v>
      </c>
      <c r="H48" s="192">
        <f t="shared" si="15"/>
        <v>0</v>
      </c>
      <c r="I48" s="192">
        <f t="shared" ref="I48" si="16">I31+I34+I35+I43+I41</f>
        <v>0</v>
      </c>
      <c r="J48" s="192">
        <f t="shared" si="10"/>
        <v>55625000</v>
      </c>
      <c r="K48" s="192">
        <f t="shared" si="11"/>
        <v>55625000</v>
      </c>
      <c r="L48" s="207">
        <f t="shared" ref="L48:N48" si="17">L31+L34+L35+L43+L41</f>
        <v>0</v>
      </c>
      <c r="M48" s="192">
        <f t="shared" si="17"/>
        <v>0</v>
      </c>
      <c r="N48" s="192">
        <f t="shared" si="17"/>
        <v>0</v>
      </c>
      <c r="O48" s="192">
        <f t="shared" si="12"/>
        <v>55625000</v>
      </c>
      <c r="P48" s="192">
        <f t="shared" si="13"/>
        <v>55625000</v>
      </c>
      <c r="Q48" s="207">
        <f t="shared" ref="Q48:R48" si="18">Q31+Q34+Q35+Q43+Q41</f>
        <v>0</v>
      </c>
      <c r="R48" s="192">
        <f t="shared" si="18"/>
        <v>0</v>
      </c>
    </row>
    <row r="49" spans="1:18" ht="17.100000000000001" customHeight="1" x14ac:dyDescent="0.3">
      <c r="A49" s="193"/>
      <c r="B49" s="193"/>
      <c r="C49" s="193"/>
      <c r="D49" s="208"/>
      <c r="E49" s="208"/>
      <c r="F49" s="209"/>
      <c r="G49" s="209"/>
      <c r="H49" s="209"/>
      <c r="I49" s="208"/>
      <c r="J49" s="208"/>
      <c r="K49" s="209"/>
      <c r="L49" s="209"/>
      <c r="M49" s="209"/>
      <c r="N49" s="208"/>
      <c r="O49" s="208"/>
      <c r="P49" s="209"/>
      <c r="Q49" s="209"/>
      <c r="R49" s="209"/>
    </row>
    <row r="50" spans="1:18" ht="17.100000000000001" customHeight="1" x14ac:dyDescent="0.3">
      <c r="A50" s="210"/>
      <c r="B50" s="211"/>
      <c r="C50" s="211"/>
      <c r="D50" s="211"/>
      <c r="E50" s="210"/>
      <c r="F50" s="209"/>
      <c r="G50" s="209"/>
      <c r="H50" s="209"/>
      <c r="I50" s="210"/>
      <c r="J50" s="210"/>
      <c r="K50" s="209"/>
      <c r="L50" s="209"/>
      <c r="M50" s="209"/>
      <c r="N50" s="210"/>
      <c r="O50" s="210"/>
      <c r="P50" s="209"/>
      <c r="Q50" s="209"/>
      <c r="R50" s="209"/>
    </row>
    <row r="51" spans="1:18" ht="17.100000000000001" customHeight="1" x14ac:dyDescent="0.3">
      <c r="A51" s="319" t="s">
        <v>222</v>
      </c>
      <c r="B51" s="320"/>
      <c r="C51" s="320"/>
      <c r="D51" s="321"/>
      <c r="E51" s="212">
        <v>8</v>
      </c>
      <c r="F51" s="209"/>
      <c r="G51" s="209"/>
      <c r="H51" s="209"/>
      <c r="I51" s="212">
        <v>8</v>
      </c>
      <c r="J51" s="212">
        <v>8</v>
      </c>
      <c r="K51" s="209"/>
      <c r="L51" s="209"/>
      <c r="M51" s="209"/>
      <c r="N51" s="212">
        <v>8</v>
      </c>
      <c r="O51" s="212">
        <v>8</v>
      </c>
      <c r="P51" s="209"/>
      <c r="Q51" s="209"/>
      <c r="R51" s="209"/>
    </row>
    <row r="52" spans="1:18" ht="17.100000000000001" customHeight="1" x14ac:dyDescent="0.3">
      <c r="A52" s="319" t="s">
        <v>223</v>
      </c>
      <c r="B52" s="320"/>
      <c r="C52" s="320"/>
      <c r="D52" s="321"/>
      <c r="E52" s="212">
        <v>0</v>
      </c>
      <c r="F52" s="209"/>
      <c r="G52" s="209"/>
      <c r="H52" s="209"/>
      <c r="I52" s="212">
        <v>0</v>
      </c>
      <c r="J52" s="212">
        <v>0</v>
      </c>
      <c r="K52" s="209"/>
      <c r="L52" s="209"/>
      <c r="M52" s="209"/>
      <c r="N52" s="212">
        <v>0</v>
      </c>
      <c r="O52" s="212">
        <v>0</v>
      </c>
      <c r="P52" s="209"/>
      <c r="Q52" s="209"/>
      <c r="R52" s="209"/>
    </row>
    <row r="53" spans="1:18" ht="17.100000000000001" customHeight="1" x14ac:dyDescent="0.3">
      <c r="A53" s="210"/>
      <c r="B53" s="210"/>
      <c r="C53" s="210"/>
      <c r="D53" s="210"/>
      <c r="E53" s="210"/>
      <c r="F53" s="209"/>
      <c r="G53" s="209"/>
      <c r="H53" s="209"/>
      <c r="I53" s="210"/>
      <c r="J53" s="210"/>
      <c r="K53" s="209"/>
      <c r="L53" s="209"/>
      <c r="M53" s="209"/>
      <c r="N53" s="210"/>
      <c r="O53" s="210"/>
      <c r="P53" s="209"/>
      <c r="Q53" s="209"/>
      <c r="R53" s="209"/>
    </row>
    <row r="54" spans="1:18" x14ac:dyDescent="0.25">
      <c r="F54" s="214"/>
      <c r="G54" s="214"/>
      <c r="H54" s="214"/>
      <c r="K54" s="214"/>
      <c r="L54" s="214"/>
      <c r="M54" s="214"/>
      <c r="P54" s="214"/>
      <c r="Q54" s="214"/>
      <c r="R54" s="214"/>
    </row>
  </sheetData>
  <mergeCells count="37">
    <mergeCell ref="Q6:R6"/>
    <mergeCell ref="N7:N8"/>
    <mergeCell ref="O7:O8"/>
    <mergeCell ref="P7:R7"/>
    <mergeCell ref="N29:N30"/>
    <mergeCell ref="O29:O30"/>
    <mergeCell ref="P29:R29"/>
    <mergeCell ref="A51:D51"/>
    <mergeCell ref="A52:D52"/>
    <mergeCell ref="A29:A30"/>
    <mergeCell ref="B29:B30"/>
    <mergeCell ref="C29:C30"/>
    <mergeCell ref="D29:D30"/>
    <mergeCell ref="A48:B48"/>
    <mergeCell ref="E29:E30"/>
    <mergeCell ref="F29:H29"/>
    <mergeCell ref="A7:A8"/>
    <mergeCell ref="B7:B8"/>
    <mergeCell ref="C7:C8"/>
    <mergeCell ref="D7:D8"/>
    <mergeCell ref="E7:E8"/>
    <mergeCell ref="F7:H7"/>
    <mergeCell ref="A26:B26"/>
    <mergeCell ref="A2:H2"/>
    <mergeCell ref="A3:H3"/>
    <mergeCell ref="A4:H4"/>
    <mergeCell ref="A6:B6"/>
    <mergeCell ref="D6:E6"/>
    <mergeCell ref="G6:H6"/>
    <mergeCell ref="A5:B5"/>
    <mergeCell ref="I7:I8"/>
    <mergeCell ref="I29:I30"/>
    <mergeCell ref="L6:M6"/>
    <mergeCell ref="J7:J8"/>
    <mergeCell ref="K7:M7"/>
    <mergeCell ref="J29:J30"/>
    <mergeCell ref="K29:M29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53"/>
  <sheetViews>
    <sheetView zoomScaleNormal="100" workbookViewId="0">
      <selection activeCell="A5" sqref="A5:B5"/>
    </sheetView>
  </sheetViews>
  <sheetFormatPr defaultColWidth="8.5546875" defaultRowHeight="13.2" x14ac:dyDescent="0.25"/>
  <cols>
    <col min="1" max="1" width="6.44140625" style="213" customWidth="1"/>
    <col min="2" max="2" width="50.5546875" style="213" customWidth="1"/>
    <col min="3" max="4" width="11.5546875" style="213" hidden="1" customWidth="1"/>
    <col min="5" max="18" width="11.5546875" style="213" customWidth="1"/>
    <col min="19" max="16384" width="8.5546875" style="214"/>
  </cols>
  <sheetData>
    <row r="2" spans="1:18" s="217" customFormat="1" ht="17.100000000000001" customHeight="1" x14ac:dyDescent="0.25">
      <c r="A2" s="314" t="s">
        <v>540</v>
      </c>
      <c r="B2" s="328"/>
      <c r="C2" s="328"/>
      <c r="D2" s="328"/>
      <c r="E2" s="328"/>
      <c r="F2" s="328"/>
      <c r="G2" s="328"/>
      <c r="H2" s="328"/>
    </row>
    <row r="3" spans="1:18" s="217" customFormat="1" ht="17.100000000000001" customHeight="1" x14ac:dyDescent="0.25">
      <c r="A3" s="314">
        <v>2022</v>
      </c>
      <c r="B3" s="314"/>
      <c r="C3" s="314"/>
      <c r="D3" s="314"/>
      <c r="E3" s="314"/>
      <c r="F3" s="314"/>
      <c r="G3" s="314"/>
      <c r="H3" s="314"/>
    </row>
    <row r="4" spans="1:18" s="217" customFormat="1" ht="17.100000000000001" customHeight="1" x14ac:dyDescent="0.3">
      <c r="A4" s="303" t="s">
        <v>571</v>
      </c>
      <c r="B4" s="303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18" ht="17.100000000000001" customHeight="1" x14ac:dyDescent="0.3">
      <c r="A5" s="303" t="s">
        <v>559</v>
      </c>
      <c r="B5" s="303"/>
      <c r="C5" s="182"/>
      <c r="D5" s="313"/>
      <c r="E5" s="313"/>
      <c r="F5" s="182"/>
      <c r="G5" s="313" t="s">
        <v>15</v>
      </c>
      <c r="H5" s="313"/>
      <c r="I5" s="214"/>
      <c r="J5" s="214"/>
      <c r="K5" s="182"/>
      <c r="L5" s="313" t="s">
        <v>15</v>
      </c>
      <c r="M5" s="313"/>
      <c r="N5" s="214"/>
      <c r="O5" s="214"/>
      <c r="P5" s="182"/>
      <c r="Q5" s="313" t="s">
        <v>15</v>
      </c>
      <c r="R5" s="313"/>
    </row>
    <row r="6" spans="1:18" ht="17.100000000000001" customHeight="1" x14ac:dyDescent="0.25">
      <c r="A6" s="325" t="s">
        <v>19</v>
      </c>
      <c r="B6" s="325" t="s">
        <v>206</v>
      </c>
      <c r="C6" s="312" t="s">
        <v>482</v>
      </c>
      <c r="D6" s="312" t="s">
        <v>483</v>
      </c>
      <c r="E6" s="312" t="s">
        <v>481</v>
      </c>
      <c r="F6" s="312" t="s">
        <v>480</v>
      </c>
      <c r="G6" s="312"/>
      <c r="H6" s="312"/>
      <c r="I6" s="312" t="s">
        <v>536</v>
      </c>
      <c r="J6" s="312" t="s">
        <v>537</v>
      </c>
      <c r="K6" s="312" t="s">
        <v>537</v>
      </c>
      <c r="L6" s="312"/>
      <c r="M6" s="312"/>
      <c r="N6" s="312" t="s">
        <v>538</v>
      </c>
      <c r="O6" s="312" t="s">
        <v>539</v>
      </c>
      <c r="P6" s="312" t="s">
        <v>539</v>
      </c>
      <c r="Q6" s="312"/>
      <c r="R6" s="312"/>
    </row>
    <row r="7" spans="1:18" ht="48.6" customHeight="1" x14ac:dyDescent="0.25">
      <c r="A7" s="326"/>
      <c r="B7" s="326"/>
      <c r="C7" s="312"/>
      <c r="D7" s="312"/>
      <c r="E7" s="312"/>
      <c r="F7" s="240" t="s">
        <v>204</v>
      </c>
      <c r="G7" s="240" t="s">
        <v>205</v>
      </c>
      <c r="H7" s="240" t="s">
        <v>359</v>
      </c>
      <c r="I7" s="312"/>
      <c r="J7" s="312"/>
      <c r="K7" s="240" t="s">
        <v>204</v>
      </c>
      <c r="L7" s="240" t="s">
        <v>205</v>
      </c>
      <c r="M7" s="240" t="s">
        <v>359</v>
      </c>
      <c r="N7" s="312"/>
      <c r="O7" s="312"/>
      <c r="P7" s="240" t="s">
        <v>204</v>
      </c>
      <c r="Q7" s="240" t="s">
        <v>205</v>
      </c>
      <c r="R7" s="240" t="s">
        <v>359</v>
      </c>
    </row>
    <row r="8" spans="1:18" ht="17.100000000000001" customHeight="1" x14ac:dyDescent="0.3">
      <c r="A8" s="183" t="s">
        <v>23</v>
      </c>
      <c r="B8" s="183" t="s">
        <v>207</v>
      </c>
      <c r="C8" s="184">
        <f>C9</f>
        <v>6000000</v>
      </c>
      <c r="D8" s="184">
        <f>D9</f>
        <v>7600000</v>
      </c>
      <c r="E8" s="184">
        <f>E9</f>
        <v>3367000</v>
      </c>
      <c r="F8" s="184">
        <f>F9</f>
        <v>3367000</v>
      </c>
      <c r="G8" s="184">
        <v>0</v>
      </c>
      <c r="H8" s="184">
        <v>0</v>
      </c>
      <c r="I8" s="184">
        <f>I9</f>
        <v>0</v>
      </c>
      <c r="J8" s="184">
        <f>E8+I8</f>
        <v>3367000</v>
      </c>
      <c r="K8" s="184">
        <f>J8</f>
        <v>3367000</v>
      </c>
      <c r="L8" s="184">
        <v>0</v>
      </c>
      <c r="M8" s="184">
        <v>0</v>
      </c>
      <c r="N8" s="184">
        <f>N9</f>
        <v>1200000</v>
      </c>
      <c r="O8" s="184">
        <f>J8+N8</f>
        <v>4567000</v>
      </c>
      <c r="P8" s="184">
        <f>O8</f>
        <v>4567000</v>
      </c>
      <c r="Q8" s="184">
        <v>0</v>
      </c>
      <c r="R8" s="184">
        <v>0</v>
      </c>
    </row>
    <row r="9" spans="1:18" ht="17.100000000000001" customHeight="1" x14ac:dyDescent="0.3">
      <c r="A9" s="185" t="s">
        <v>37</v>
      </c>
      <c r="B9" s="185" t="s">
        <v>208</v>
      </c>
      <c r="C9" s="186">
        <v>6000000</v>
      </c>
      <c r="D9" s="186">
        <v>7600000</v>
      </c>
      <c r="E9" s="186">
        <v>3367000</v>
      </c>
      <c r="F9" s="186">
        <v>3367000</v>
      </c>
      <c r="G9" s="186"/>
      <c r="H9" s="186"/>
      <c r="I9" s="186"/>
      <c r="J9" s="186">
        <f t="shared" ref="J9:J25" si="0">E9+I9</f>
        <v>3367000</v>
      </c>
      <c r="K9" s="186">
        <f t="shared" ref="K9:K25" si="1">J9</f>
        <v>3367000</v>
      </c>
      <c r="L9" s="186"/>
      <c r="M9" s="186"/>
      <c r="N9" s="186">
        <f>800000+400000</f>
        <v>1200000</v>
      </c>
      <c r="O9" s="186">
        <f t="shared" ref="O9:O25" si="2">J9+N9</f>
        <v>4567000</v>
      </c>
      <c r="P9" s="186">
        <f t="shared" ref="P9:P25" si="3">O9</f>
        <v>4567000</v>
      </c>
      <c r="Q9" s="186"/>
      <c r="R9" s="186"/>
    </row>
    <row r="10" spans="1:18" ht="17.100000000000001" customHeight="1" x14ac:dyDescent="0.3">
      <c r="A10" s="183" t="s">
        <v>45</v>
      </c>
      <c r="B10" s="183" t="s">
        <v>207</v>
      </c>
      <c r="C10" s="186">
        <f t="shared" ref="C10:R10" si="4">(C11)</f>
        <v>0</v>
      </c>
      <c r="D10" s="186">
        <v>0</v>
      </c>
      <c r="E10" s="186">
        <f t="shared" si="4"/>
        <v>0</v>
      </c>
      <c r="F10" s="186">
        <f t="shared" si="4"/>
        <v>0</v>
      </c>
      <c r="G10" s="186">
        <f t="shared" si="4"/>
        <v>0</v>
      </c>
      <c r="H10" s="186">
        <f t="shared" si="4"/>
        <v>0</v>
      </c>
      <c r="I10" s="186">
        <f t="shared" si="4"/>
        <v>0</v>
      </c>
      <c r="J10" s="186">
        <f t="shared" si="0"/>
        <v>0</v>
      </c>
      <c r="K10" s="186">
        <f t="shared" si="1"/>
        <v>0</v>
      </c>
      <c r="L10" s="186">
        <f t="shared" si="4"/>
        <v>0</v>
      </c>
      <c r="M10" s="186">
        <f t="shared" si="4"/>
        <v>0</v>
      </c>
      <c r="N10" s="186">
        <f t="shared" si="4"/>
        <v>0</v>
      </c>
      <c r="O10" s="186">
        <f t="shared" si="2"/>
        <v>0</v>
      </c>
      <c r="P10" s="186">
        <f t="shared" si="3"/>
        <v>0</v>
      </c>
      <c r="Q10" s="186">
        <f t="shared" si="4"/>
        <v>0</v>
      </c>
      <c r="R10" s="186">
        <f t="shared" si="4"/>
        <v>0</v>
      </c>
    </row>
    <row r="11" spans="1:18" ht="17.100000000000001" customHeight="1" x14ac:dyDescent="0.3">
      <c r="A11" s="185" t="s">
        <v>53</v>
      </c>
      <c r="B11" s="185" t="s">
        <v>54</v>
      </c>
      <c r="C11" s="186">
        <v>0</v>
      </c>
      <c r="D11" s="186">
        <v>0</v>
      </c>
      <c r="E11" s="186">
        <v>0</v>
      </c>
      <c r="F11" s="186">
        <v>0</v>
      </c>
      <c r="G11" s="186"/>
      <c r="H11" s="186"/>
      <c r="I11" s="186"/>
      <c r="J11" s="186">
        <f t="shared" si="0"/>
        <v>0</v>
      </c>
      <c r="K11" s="186">
        <f t="shared" si="1"/>
        <v>0</v>
      </c>
      <c r="L11" s="186"/>
      <c r="M11" s="186"/>
      <c r="N11" s="186"/>
      <c r="O11" s="186">
        <f t="shared" si="2"/>
        <v>0</v>
      </c>
      <c r="P11" s="186">
        <f t="shared" si="3"/>
        <v>0</v>
      </c>
      <c r="Q11" s="186"/>
      <c r="R11" s="186"/>
    </row>
    <row r="12" spans="1:18" ht="17.100000000000001" customHeight="1" x14ac:dyDescent="0.3">
      <c r="A12" s="183" t="s">
        <v>55</v>
      </c>
      <c r="B12" s="183" t="s">
        <v>56</v>
      </c>
      <c r="C12" s="187">
        <f>SUM(C13:C18)</f>
        <v>161000</v>
      </c>
      <c r="D12" s="187">
        <f>SUM(D13:D18)</f>
        <v>2961000</v>
      </c>
      <c r="E12" s="184">
        <f>SUM(E13:E18)</f>
        <v>661000</v>
      </c>
      <c r="F12" s="184">
        <f>SUM(F13:F18)</f>
        <v>661000</v>
      </c>
      <c r="G12" s="187">
        <v>0</v>
      </c>
      <c r="H12" s="184">
        <v>0</v>
      </c>
      <c r="I12" s="184">
        <f>SUM(I13:I18)</f>
        <v>0</v>
      </c>
      <c r="J12" s="184">
        <f t="shared" si="0"/>
        <v>661000</v>
      </c>
      <c r="K12" s="184">
        <f t="shared" si="1"/>
        <v>661000</v>
      </c>
      <c r="L12" s="187">
        <v>0</v>
      </c>
      <c r="M12" s="184">
        <v>0</v>
      </c>
      <c r="N12" s="184">
        <f>SUM(N13:N18)</f>
        <v>600000</v>
      </c>
      <c r="O12" s="184">
        <f t="shared" si="2"/>
        <v>1261000</v>
      </c>
      <c r="P12" s="184">
        <f t="shared" si="3"/>
        <v>1261000</v>
      </c>
      <c r="Q12" s="187">
        <v>0</v>
      </c>
      <c r="R12" s="184">
        <v>0</v>
      </c>
    </row>
    <row r="13" spans="1:18" ht="17.100000000000001" customHeight="1" x14ac:dyDescent="0.3">
      <c r="A13" s="188" t="s">
        <v>57</v>
      </c>
      <c r="B13" s="188" t="s">
        <v>58</v>
      </c>
      <c r="C13" s="189">
        <v>0</v>
      </c>
      <c r="D13" s="189">
        <v>2800000</v>
      </c>
      <c r="E13" s="186">
        <v>500000</v>
      </c>
      <c r="F13" s="186">
        <v>500000</v>
      </c>
      <c r="G13" s="186">
        <v>0</v>
      </c>
      <c r="H13" s="186"/>
      <c r="I13" s="186"/>
      <c r="J13" s="186">
        <f t="shared" si="0"/>
        <v>500000</v>
      </c>
      <c r="K13" s="186">
        <f t="shared" si="1"/>
        <v>500000</v>
      </c>
      <c r="L13" s="186">
        <v>0</v>
      </c>
      <c r="M13" s="186"/>
      <c r="N13" s="186">
        <v>600000</v>
      </c>
      <c r="O13" s="186">
        <f t="shared" si="2"/>
        <v>1100000</v>
      </c>
      <c r="P13" s="186">
        <f t="shared" si="3"/>
        <v>1100000</v>
      </c>
      <c r="Q13" s="186">
        <v>0</v>
      </c>
      <c r="R13" s="186"/>
    </row>
    <row r="14" spans="1:18" ht="17.100000000000001" customHeight="1" x14ac:dyDescent="0.3">
      <c r="A14" s="188" t="s">
        <v>209</v>
      </c>
      <c r="B14" s="188" t="s">
        <v>60</v>
      </c>
      <c r="C14" s="189">
        <v>150000</v>
      </c>
      <c r="D14" s="189">
        <v>150000</v>
      </c>
      <c r="E14" s="186">
        <v>150000</v>
      </c>
      <c r="F14" s="186">
        <v>150000</v>
      </c>
      <c r="G14" s="186"/>
      <c r="H14" s="186"/>
      <c r="I14" s="186"/>
      <c r="J14" s="186">
        <f t="shared" si="0"/>
        <v>150000</v>
      </c>
      <c r="K14" s="186">
        <f t="shared" si="1"/>
        <v>150000</v>
      </c>
      <c r="L14" s="186"/>
      <c r="M14" s="186"/>
      <c r="N14" s="186"/>
      <c r="O14" s="186">
        <f t="shared" si="2"/>
        <v>150000</v>
      </c>
      <c r="P14" s="186">
        <f t="shared" si="3"/>
        <v>150000</v>
      </c>
      <c r="Q14" s="186"/>
      <c r="R14" s="186"/>
    </row>
    <row r="15" spans="1:18" ht="17.100000000000001" customHeight="1" x14ac:dyDescent="0.3">
      <c r="A15" s="188" t="s">
        <v>63</v>
      </c>
      <c r="B15" s="188" t="s">
        <v>210</v>
      </c>
      <c r="C15" s="189">
        <v>0</v>
      </c>
      <c r="D15" s="189">
        <v>0</v>
      </c>
      <c r="E15" s="186">
        <v>0</v>
      </c>
      <c r="F15" s="186">
        <v>0</v>
      </c>
      <c r="G15" s="186"/>
      <c r="H15" s="186"/>
      <c r="I15" s="186"/>
      <c r="J15" s="186">
        <f t="shared" si="0"/>
        <v>0</v>
      </c>
      <c r="K15" s="186">
        <f t="shared" si="1"/>
        <v>0</v>
      </c>
      <c r="L15" s="186"/>
      <c r="M15" s="186"/>
      <c r="N15" s="186"/>
      <c r="O15" s="186">
        <f t="shared" si="2"/>
        <v>0</v>
      </c>
      <c r="P15" s="186">
        <f t="shared" si="3"/>
        <v>0</v>
      </c>
      <c r="Q15" s="186"/>
      <c r="R15" s="186"/>
    </row>
    <row r="16" spans="1:18" ht="17.100000000000001" customHeight="1" x14ac:dyDescent="0.3">
      <c r="A16" s="188" t="s">
        <v>65</v>
      </c>
      <c r="B16" s="188" t="s">
        <v>211</v>
      </c>
      <c r="C16" s="189">
        <v>0</v>
      </c>
      <c r="D16" s="189">
        <v>0</v>
      </c>
      <c r="E16" s="186">
        <v>0</v>
      </c>
      <c r="F16" s="186">
        <v>0</v>
      </c>
      <c r="G16" s="186"/>
      <c r="H16" s="186"/>
      <c r="I16" s="186"/>
      <c r="J16" s="186">
        <f t="shared" si="0"/>
        <v>0</v>
      </c>
      <c r="K16" s="186">
        <f t="shared" si="1"/>
        <v>0</v>
      </c>
      <c r="L16" s="186"/>
      <c r="M16" s="186"/>
      <c r="N16" s="186"/>
      <c r="O16" s="186">
        <f t="shared" si="2"/>
        <v>0</v>
      </c>
      <c r="P16" s="186">
        <f t="shared" si="3"/>
        <v>0</v>
      </c>
      <c r="Q16" s="186"/>
      <c r="R16" s="186"/>
    </row>
    <row r="17" spans="1:18" ht="17.100000000000001" customHeight="1" x14ac:dyDescent="0.3">
      <c r="A17" s="188" t="s">
        <v>67</v>
      </c>
      <c r="B17" s="188" t="s">
        <v>68</v>
      </c>
      <c r="C17" s="186">
        <v>1000</v>
      </c>
      <c r="D17" s="186">
        <v>1000</v>
      </c>
      <c r="E17" s="186">
        <v>1000</v>
      </c>
      <c r="F17" s="186">
        <v>1000</v>
      </c>
      <c r="G17" s="186"/>
      <c r="H17" s="186"/>
      <c r="I17" s="186"/>
      <c r="J17" s="186">
        <f t="shared" si="0"/>
        <v>1000</v>
      </c>
      <c r="K17" s="186">
        <f t="shared" si="1"/>
        <v>1000</v>
      </c>
      <c r="L17" s="186"/>
      <c r="M17" s="186"/>
      <c r="N17" s="186"/>
      <c r="O17" s="186">
        <f t="shared" si="2"/>
        <v>1000</v>
      </c>
      <c r="P17" s="186">
        <f t="shared" si="3"/>
        <v>1000</v>
      </c>
      <c r="Q17" s="186"/>
      <c r="R17" s="186"/>
    </row>
    <row r="18" spans="1:18" ht="17.100000000000001" customHeight="1" x14ac:dyDescent="0.3">
      <c r="A18" s="188" t="s">
        <v>71</v>
      </c>
      <c r="B18" s="188" t="s">
        <v>72</v>
      </c>
      <c r="C18" s="186">
        <v>10000</v>
      </c>
      <c r="D18" s="186">
        <v>10000</v>
      </c>
      <c r="E18" s="186">
        <v>10000</v>
      </c>
      <c r="F18" s="186">
        <v>10000</v>
      </c>
      <c r="G18" s="186"/>
      <c r="H18" s="186"/>
      <c r="I18" s="186"/>
      <c r="J18" s="186">
        <f t="shared" si="0"/>
        <v>10000</v>
      </c>
      <c r="K18" s="186">
        <f t="shared" si="1"/>
        <v>10000</v>
      </c>
      <c r="L18" s="186"/>
      <c r="M18" s="186"/>
      <c r="N18" s="186"/>
      <c r="O18" s="186">
        <f t="shared" si="2"/>
        <v>10000</v>
      </c>
      <c r="P18" s="186">
        <f t="shared" si="3"/>
        <v>10000</v>
      </c>
      <c r="Q18" s="186"/>
      <c r="R18" s="186"/>
    </row>
    <row r="19" spans="1:18" ht="17.100000000000001" customHeight="1" x14ac:dyDescent="0.3">
      <c r="A19" s="183" t="s">
        <v>73</v>
      </c>
      <c r="B19" s="183" t="s">
        <v>74</v>
      </c>
      <c r="C19" s="184">
        <f>C20</f>
        <v>0</v>
      </c>
      <c r="D19" s="184">
        <f>D20</f>
        <v>0</v>
      </c>
      <c r="E19" s="184">
        <f>E20</f>
        <v>0</v>
      </c>
      <c r="F19" s="184">
        <f>F20</f>
        <v>0</v>
      </c>
      <c r="G19" s="184">
        <v>0</v>
      </c>
      <c r="H19" s="184">
        <v>0</v>
      </c>
      <c r="I19" s="184">
        <f>I20</f>
        <v>0</v>
      </c>
      <c r="J19" s="184">
        <f t="shared" si="0"/>
        <v>0</v>
      </c>
      <c r="K19" s="184">
        <f t="shared" si="1"/>
        <v>0</v>
      </c>
      <c r="L19" s="184">
        <v>0</v>
      </c>
      <c r="M19" s="184">
        <v>0</v>
      </c>
      <c r="N19" s="184">
        <f>N20</f>
        <v>0</v>
      </c>
      <c r="O19" s="184">
        <f t="shared" si="2"/>
        <v>0</v>
      </c>
      <c r="P19" s="184">
        <f t="shared" si="3"/>
        <v>0</v>
      </c>
      <c r="Q19" s="184">
        <v>0</v>
      </c>
      <c r="R19" s="184">
        <v>0</v>
      </c>
    </row>
    <row r="20" spans="1:18" ht="17.100000000000001" customHeight="1" x14ac:dyDescent="0.3">
      <c r="A20" s="185" t="s">
        <v>212</v>
      </c>
      <c r="B20" s="185" t="s">
        <v>213</v>
      </c>
      <c r="C20" s="186">
        <v>0</v>
      </c>
      <c r="D20" s="186">
        <v>0</v>
      </c>
      <c r="E20" s="186">
        <v>0</v>
      </c>
      <c r="F20" s="186">
        <v>0</v>
      </c>
      <c r="G20" s="186"/>
      <c r="H20" s="186"/>
      <c r="I20" s="186"/>
      <c r="J20" s="186">
        <f t="shared" si="0"/>
        <v>0</v>
      </c>
      <c r="K20" s="186">
        <f t="shared" si="1"/>
        <v>0</v>
      </c>
      <c r="L20" s="186"/>
      <c r="M20" s="186"/>
      <c r="N20" s="186"/>
      <c r="O20" s="186">
        <f t="shared" si="2"/>
        <v>0</v>
      </c>
      <c r="P20" s="186">
        <f t="shared" si="3"/>
        <v>0</v>
      </c>
      <c r="Q20" s="186"/>
      <c r="R20" s="186"/>
    </row>
    <row r="21" spans="1:18" ht="17.100000000000001" customHeight="1" x14ac:dyDescent="0.3">
      <c r="A21" s="183" t="s">
        <v>214</v>
      </c>
      <c r="B21" s="183" t="s">
        <v>86</v>
      </c>
      <c r="C21" s="187">
        <f>C8+C12+C19</f>
        <v>6161000</v>
      </c>
      <c r="D21" s="187">
        <f>D8+D12+D19</f>
        <v>10561000</v>
      </c>
      <c r="E21" s="187">
        <f>E8+E12+E19</f>
        <v>4028000</v>
      </c>
      <c r="F21" s="187">
        <f>F8+F12+F19</f>
        <v>4028000</v>
      </c>
      <c r="G21" s="187">
        <v>0</v>
      </c>
      <c r="H21" s="187">
        <f>H8+H12+H19</f>
        <v>0</v>
      </c>
      <c r="I21" s="187">
        <f>I8+I12+I19</f>
        <v>0</v>
      </c>
      <c r="J21" s="187">
        <f t="shared" si="0"/>
        <v>4028000</v>
      </c>
      <c r="K21" s="187">
        <f t="shared" si="1"/>
        <v>4028000</v>
      </c>
      <c r="L21" s="187">
        <v>0</v>
      </c>
      <c r="M21" s="187">
        <f>M8+M12+M19</f>
        <v>0</v>
      </c>
      <c r="N21" s="187">
        <f>N8+N12+N19</f>
        <v>1800000</v>
      </c>
      <c r="O21" s="187">
        <f t="shared" si="2"/>
        <v>5828000</v>
      </c>
      <c r="P21" s="187">
        <f t="shared" si="3"/>
        <v>5828000</v>
      </c>
      <c r="Q21" s="187">
        <v>0</v>
      </c>
      <c r="R21" s="187">
        <f>R8+R12+R19</f>
        <v>0</v>
      </c>
    </row>
    <row r="22" spans="1:18" ht="17.100000000000001" customHeight="1" x14ac:dyDescent="0.3">
      <c r="A22" s="183" t="s">
        <v>87</v>
      </c>
      <c r="B22" s="183" t="s">
        <v>88</v>
      </c>
      <c r="C22" s="187">
        <f>SUM(C23:C24)</f>
        <v>44310000</v>
      </c>
      <c r="D22" s="187">
        <f>SUM(D23:D24)</f>
        <v>39910000</v>
      </c>
      <c r="E22" s="190">
        <f>SUM(E23:E24)</f>
        <v>52307000</v>
      </c>
      <c r="F22" s="190">
        <f>SUM(F23:F24)</f>
        <v>52307000</v>
      </c>
      <c r="G22" s="190">
        <v>0</v>
      </c>
      <c r="H22" s="190">
        <v>0</v>
      </c>
      <c r="I22" s="190">
        <f>SUM(I23:I24)</f>
        <v>0</v>
      </c>
      <c r="J22" s="190">
        <f t="shared" si="0"/>
        <v>52307000</v>
      </c>
      <c r="K22" s="190">
        <f t="shared" si="1"/>
        <v>52307000</v>
      </c>
      <c r="L22" s="190">
        <v>0</v>
      </c>
      <c r="M22" s="190">
        <v>0</v>
      </c>
      <c r="N22" s="190">
        <f>SUM(N23:N24)</f>
        <v>3845000</v>
      </c>
      <c r="O22" s="190">
        <f t="shared" si="2"/>
        <v>56152000</v>
      </c>
      <c r="P22" s="190">
        <f t="shared" si="3"/>
        <v>56152000</v>
      </c>
      <c r="Q22" s="190">
        <v>0</v>
      </c>
      <c r="R22" s="190">
        <v>0</v>
      </c>
    </row>
    <row r="23" spans="1:18" ht="28.5" customHeight="1" x14ac:dyDescent="0.3">
      <c r="A23" s="188" t="s">
        <v>93</v>
      </c>
      <c r="B23" s="188" t="s">
        <v>94</v>
      </c>
      <c r="C23" s="186">
        <v>2036000</v>
      </c>
      <c r="D23" s="186">
        <v>2036000</v>
      </c>
      <c r="E23" s="186">
        <v>0</v>
      </c>
      <c r="F23" s="186">
        <v>0</v>
      </c>
      <c r="G23" s="186"/>
      <c r="H23" s="186"/>
      <c r="I23" s="186">
        <v>1722023</v>
      </c>
      <c r="J23" s="186">
        <f t="shared" si="0"/>
        <v>1722023</v>
      </c>
      <c r="K23" s="186">
        <f t="shared" si="1"/>
        <v>1722023</v>
      </c>
      <c r="L23" s="186"/>
      <c r="M23" s="186"/>
      <c r="N23" s="186"/>
      <c r="O23" s="186">
        <f t="shared" si="2"/>
        <v>1722023</v>
      </c>
      <c r="P23" s="186">
        <f t="shared" si="3"/>
        <v>1722023</v>
      </c>
      <c r="Q23" s="186"/>
      <c r="R23" s="186"/>
    </row>
    <row r="24" spans="1:18" ht="17.100000000000001" customHeight="1" x14ac:dyDescent="0.3">
      <c r="A24" s="185" t="s">
        <v>215</v>
      </c>
      <c r="B24" s="185" t="s">
        <v>429</v>
      </c>
      <c r="C24" s="186">
        <v>42274000</v>
      </c>
      <c r="D24" s="186">
        <v>37874000</v>
      </c>
      <c r="E24" s="186">
        <f>+E47-E23-E21</f>
        <v>52307000</v>
      </c>
      <c r="F24" s="186">
        <f>+F47-F23-F21</f>
        <v>52307000</v>
      </c>
      <c r="G24" s="186"/>
      <c r="H24" s="186"/>
      <c r="I24" s="186">
        <v>-1722023</v>
      </c>
      <c r="J24" s="186">
        <f t="shared" si="0"/>
        <v>50584977</v>
      </c>
      <c r="K24" s="186">
        <f t="shared" si="1"/>
        <v>50584977</v>
      </c>
      <c r="L24" s="186"/>
      <c r="M24" s="186"/>
      <c r="N24" s="186">
        <f>845000+3000000</f>
        <v>3845000</v>
      </c>
      <c r="O24" s="186">
        <f t="shared" si="2"/>
        <v>54429977</v>
      </c>
      <c r="P24" s="186">
        <f t="shared" si="3"/>
        <v>54429977</v>
      </c>
      <c r="Q24" s="186"/>
      <c r="R24" s="186"/>
    </row>
    <row r="25" spans="1:18" ht="33" customHeight="1" x14ac:dyDescent="0.25">
      <c r="A25" s="315" t="s">
        <v>396</v>
      </c>
      <c r="B25" s="310"/>
      <c r="C25" s="191">
        <f>C22+C21</f>
        <v>50471000</v>
      </c>
      <c r="D25" s="191">
        <f>D22+D21</f>
        <v>50471000</v>
      </c>
      <c r="E25" s="192">
        <f>E21+E22</f>
        <v>56335000</v>
      </c>
      <c r="F25" s="192">
        <f>F21+F22</f>
        <v>56335000</v>
      </c>
      <c r="G25" s="192">
        <f>G21+G22</f>
        <v>0</v>
      </c>
      <c r="H25" s="192">
        <f>H21+H22</f>
        <v>0</v>
      </c>
      <c r="I25" s="192">
        <f>I21+I22</f>
        <v>0</v>
      </c>
      <c r="J25" s="192">
        <f t="shared" si="0"/>
        <v>56335000</v>
      </c>
      <c r="K25" s="192">
        <f t="shared" si="1"/>
        <v>56335000</v>
      </c>
      <c r="L25" s="192">
        <f>L21+L22</f>
        <v>0</v>
      </c>
      <c r="M25" s="192">
        <f>M21+M22</f>
        <v>0</v>
      </c>
      <c r="N25" s="192">
        <f>N21+N22</f>
        <v>5645000</v>
      </c>
      <c r="O25" s="192">
        <f t="shared" si="2"/>
        <v>61980000</v>
      </c>
      <c r="P25" s="192">
        <f t="shared" si="3"/>
        <v>61980000</v>
      </c>
      <c r="Q25" s="192">
        <f>Q21+Q22</f>
        <v>0</v>
      </c>
      <c r="R25" s="192">
        <f>R21+R22</f>
        <v>0</v>
      </c>
    </row>
    <row r="26" spans="1:18" ht="17.100000000000001" customHeight="1" x14ac:dyDescent="0.3">
      <c r="A26" s="193"/>
      <c r="B26" s="193"/>
      <c r="C26" s="194"/>
      <c r="D26" s="195"/>
      <c r="E26" s="196"/>
      <c r="F26" s="194"/>
      <c r="G26" s="195"/>
      <c r="H26" s="195"/>
      <c r="I26" s="196"/>
      <c r="J26" s="196"/>
      <c r="K26" s="194"/>
      <c r="L26" s="195"/>
      <c r="M26" s="195"/>
      <c r="N26" s="196"/>
      <c r="O26" s="196"/>
      <c r="P26" s="194"/>
      <c r="Q26" s="195"/>
      <c r="R26" s="195"/>
    </row>
    <row r="27" spans="1:18" ht="17.100000000000001" customHeight="1" x14ac:dyDescent="0.3">
      <c r="A27" s="210"/>
      <c r="B27" s="211"/>
      <c r="C27" s="208"/>
      <c r="D27" s="195"/>
      <c r="E27" s="196"/>
      <c r="F27" s="208"/>
      <c r="G27" s="195"/>
      <c r="H27" s="195"/>
      <c r="I27" s="196"/>
      <c r="J27" s="196"/>
      <c r="K27" s="208"/>
      <c r="L27" s="195"/>
      <c r="M27" s="195"/>
      <c r="N27" s="196"/>
      <c r="O27" s="196"/>
      <c r="P27" s="208"/>
      <c r="Q27" s="195"/>
      <c r="R27" s="195"/>
    </row>
    <row r="28" spans="1:18" ht="17.100000000000001" customHeight="1" x14ac:dyDescent="0.25">
      <c r="A28" s="312" t="s">
        <v>19</v>
      </c>
      <c r="B28" s="312" t="s">
        <v>217</v>
      </c>
      <c r="C28" s="312" t="str">
        <f>C6</f>
        <v>Módosított előirányzat        2021.</v>
      </c>
      <c r="D28" s="312" t="str">
        <f>D6</f>
        <v>Várható teljesítés 2021.</v>
      </c>
      <c r="E28" s="312" t="str">
        <f>E6</f>
        <v>Eredeti előirányzat       2022.</v>
      </c>
      <c r="F28" s="312" t="s">
        <v>480</v>
      </c>
      <c r="G28" s="312"/>
      <c r="H28" s="312"/>
      <c r="I28" s="312" t="str">
        <f>I6</f>
        <v>Előirányzat módosítás (2022.06)</v>
      </c>
      <c r="J28" s="312" t="str">
        <f>J6</f>
        <v>Módosított előirányzat (2022.06)</v>
      </c>
      <c r="K28" s="312" t="s">
        <v>537</v>
      </c>
      <c r="L28" s="312"/>
      <c r="M28" s="312"/>
      <c r="N28" s="312" t="str">
        <f>N6</f>
        <v>Előirányzat módosítás (2022.09)</v>
      </c>
      <c r="O28" s="312" t="str">
        <f>O6</f>
        <v>Módosított előirányzat (2022.09)</v>
      </c>
      <c r="P28" s="312" t="s">
        <v>537</v>
      </c>
      <c r="Q28" s="312"/>
      <c r="R28" s="312"/>
    </row>
    <row r="29" spans="1:18" ht="48.6" customHeight="1" x14ac:dyDescent="0.25">
      <c r="A29" s="312"/>
      <c r="B29" s="312"/>
      <c r="C29" s="312"/>
      <c r="D29" s="312"/>
      <c r="E29" s="312"/>
      <c r="F29" s="240" t="s">
        <v>204</v>
      </c>
      <c r="G29" s="240" t="s">
        <v>205</v>
      </c>
      <c r="H29" s="240" t="s">
        <v>359</v>
      </c>
      <c r="I29" s="312"/>
      <c r="J29" s="312"/>
      <c r="K29" s="240" t="s">
        <v>204</v>
      </c>
      <c r="L29" s="240" t="s">
        <v>205</v>
      </c>
      <c r="M29" s="240" t="s">
        <v>359</v>
      </c>
      <c r="N29" s="312"/>
      <c r="O29" s="312"/>
      <c r="P29" s="240" t="s">
        <v>204</v>
      </c>
      <c r="Q29" s="240" t="s">
        <v>205</v>
      </c>
      <c r="R29" s="240" t="s">
        <v>359</v>
      </c>
    </row>
    <row r="30" spans="1:18" ht="17.100000000000001" customHeight="1" x14ac:dyDescent="0.3">
      <c r="A30" s="183" t="s">
        <v>97</v>
      </c>
      <c r="B30" s="183" t="s">
        <v>98</v>
      </c>
      <c r="C30" s="201">
        <f>SUM(C31:C32)</f>
        <v>14100000</v>
      </c>
      <c r="D30" s="201">
        <f>SUM(D31:D32)</f>
        <v>14100000</v>
      </c>
      <c r="E30" s="202">
        <f>SUM(E31:E32)</f>
        <v>14970000</v>
      </c>
      <c r="F30" s="202">
        <f>SUM(F31:F32)</f>
        <v>14970000</v>
      </c>
      <c r="G30" s="201">
        <f>SUM(G31:G32)</f>
        <v>0</v>
      </c>
      <c r="H30" s="202">
        <v>0</v>
      </c>
      <c r="I30" s="202">
        <f>SUM(I31:I32)</f>
        <v>0</v>
      </c>
      <c r="J30" s="202">
        <f>E30+I30</f>
        <v>14970000</v>
      </c>
      <c r="K30" s="202">
        <f>J30</f>
        <v>14970000</v>
      </c>
      <c r="L30" s="201">
        <f>SUM(L31:L32)</f>
        <v>0</v>
      </c>
      <c r="M30" s="202">
        <v>0</v>
      </c>
      <c r="N30" s="202">
        <f>SUM(N31:N32)</f>
        <v>0</v>
      </c>
      <c r="O30" s="202">
        <f>J30+N30</f>
        <v>14970000</v>
      </c>
      <c r="P30" s="202">
        <f>O30</f>
        <v>14970000</v>
      </c>
      <c r="Q30" s="201">
        <f>SUM(Q31:Q32)</f>
        <v>0</v>
      </c>
      <c r="R30" s="202">
        <v>0</v>
      </c>
    </row>
    <row r="31" spans="1:18" ht="17.100000000000001" customHeight="1" x14ac:dyDescent="0.3">
      <c r="A31" s="188" t="s">
        <v>99</v>
      </c>
      <c r="B31" s="188" t="s">
        <v>100</v>
      </c>
      <c r="C31" s="203">
        <v>11200000</v>
      </c>
      <c r="D31" s="203">
        <v>11200000</v>
      </c>
      <c r="E31" s="203">
        <v>12970000</v>
      </c>
      <c r="F31" s="203">
        <v>12970000</v>
      </c>
      <c r="G31" s="203"/>
      <c r="H31" s="203"/>
      <c r="I31" s="203">
        <f>400000-400000</f>
        <v>0</v>
      </c>
      <c r="J31" s="203">
        <f t="shared" ref="J31:J47" si="5">E31+I31</f>
        <v>12970000</v>
      </c>
      <c r="K31" s="203">
        <f t="shared" ref="K31:K47" si="6">J31</f>
        <v>12970000</v>
      </c>
      <c r="L31" s="203"/>
      <c r="M31" s="203"/>
      <c r="N31" s="203">
        <f>20000-20000</f>
        <v>0</v>
      </c>
      <c r="O31" s="203">
        <f t="shared" ref="O31:O47" si="7">J31+N31</f>
        <v>12970000</v>
      </c>
      <c r="P31" s="203">
        <f t="shared" ref="P31:P47" si="8">O31</f>
        <v>12970000</v>
      </c>
      <c r="Q31" s="203"/>
      <c r="R31" s="203"/>
    </row>
    <row r="32" spans="1:18" ht="17.100000000000001" customHeight="1" x14ac:dyDescent="0.3">
      <c r="A32" s="188" t="s">
        <v>113</v>
      </c>
      <c r="B32" s="188" t="s">
        <v>114</v>
      </c>
      <c r="C32" s="203">
        <v>2900000</v>
      </c>
      <c r="D32" s="203">
        <v>2900000</v>
      </c>
      <c r="E32" s="203">
        <v>2000000</v>
      </c>
      <c r="F32" s="203">
        <v>2000000</v>
      </c>
      <c r="G32" s="203"/>
      <c r="H32" s="203"/>
      <c r="I32" s="203"/>
      <c r="J32" s="203">
        <f t="shared" si="5"/>
        <v>2000000</v>
      </c>
      <c r="K32" s="203">
        <f t="shared" si="6"/>
        <v>2000000</v>
      </c>
      <c r="L32" s="203"/>
      <c r="M32" s="203"/>
      <c r="N32" s="203"/>
      <c r="O32" s="203">
        <f t="shared" si="7"/>
        <v>2000000</v>
      </c>
      <c r="P32" s="203">
        <f t="shared" si="8"/>
        <v>2000000</v>
      </c>
      <c r="Q32" s="203"/>
      <c r="R32" s="203"/>
    </row>
    <row r="33" spans="1:18" ht="28.8" x14ac:dyDescent="0.3">
      <c r="A33" s="183" t="s">
        <v>120</v>
      </c>
      <c r="B33" s="183" t="s">
        <v>121</v>
      </c>
      <c r="C33" s="204">
        <v>2400000</v>
      </c>
      <c r="D33" s="204">
        <v>2400000</v>
      </c>
      <c r="E33" s="204">
        <v>2250000</v>
      </c>
      <c r="F33" s="204">
        <v>2250000</v>
      </c>
      <c r="G33" s="204"/>
      <c r="H33" s="204"/>
      <c r="I33" s="204"/>
      <c r="J33" s="204">
        <f t="shared" si="5"/>
        <v>2250000</v>
      </c>
      <c r="K33" s="204">
        <f t="shared" si="6"/>
        <v>2250000</v>
      </c>
      <c r="L33" s="204"/>
      <c r="M33" s="204"/>
      <c r="N33" s="204"/>
      <c r="O33" s="204">
        <f t="shared" si="7"/>
        <v>2250000</v>
      </c>
      <c r="P33" s="204">
        <f t="shared" si="8"/>
        <v>2250000</v>
      </c>
      <c r="Q33" s="204"/>
      <c r="R33" s="204"/>
    </row>
    <row r="34" spans="1:18" ht="17.100000000000001" customHeight="1" x14ac:dyDescent="0.3">
      <c r="A34" s="183" t="s">
        <v>122</v>
      </c>
      <c r="B34" s="183" t="s">
        <v>123</v>
      </c>
      <c r="C34" s="201">
        <f>SUM(C35:C39)</f>
        <v>31670000</v>
      </c>
      <c r="D34" s="201">
        <f>SUM(D35:D39)</f>
        <v>31670000</v>
      </c>
      <c r="E34" s="205">
        <f>SUM(E35:E39)</f>
        <v>37720000</v>
      </c>
      <c r="F34" s="205">
        <f>SUM(F35:F39)</f>
        <v>37720000</v>
      </c>
      <c r="G34" s="205">
        <v>0</v>
      </c>
      <c r="H34" s="205">
        <v>0</v>
      </c>
      <c r="I34" s="205">
        <f>SUM(I35:I39)</f>
        <v>0</v>
      </c>
      <c r="J34" s="205">
        <f t="shared" si="5"/>
        <v>37720000</v>
      </c>
      <c r="K34" s="205">
        <f t="shared" si="6"/>
        <v>37720000</v>
      </c>
      <c r="L34" s="205">
        <v>0</v>
      </c>
      <c r="M34" s="205">
        <v>0</v>
      </c>
      <c r="N34" s="205">
        <f>SUM(N35:N39)</f>
        <v>4800000</v>
      </c>
      <c r="O34" s="205">
        <f t="shared" si="7"/>
        <v>42520000</v>
      </c>
      <c r="P34" s="205">
        <f t="shared" si="8"/>
        <v>42520000</v>
      </c>
      <c r="Q34" s="205">
        <v>0</v>
      </c>
      <c r="R34" s="205">
        <v>0</v>
      </c>
    </row>
    <row r="35" spans="1:18" ht="17.100000000000001" customHeight="1" x14ac:dyDescent="0.3">
      <c r="A35" s="188" t="s">
        <v>124</v>
      </c>
      <c r="B35" s="188" t="s">
        <v>125</v>
      </c>
      <c r="C35" s="206">
        <v>1250000</v>
      </c>
      <c r="D35" s="206">
        <v>1250000</v>
      </c>
      <c r="E35" s="203">
        <v>1500000</v>
      </c>
      <c r="F35" s="203">
        <v>1500000</v>
      </c>
      <c r="G35" s="203"/>
      <c r="H35" s="203"/>
      <c r="I35" s="203"/>
      <c r="J35" s="203">
        <f t="shared" si="5"/>
        <v>1500000</v>
      </c>
      <c r="K35" s="203">
        <f t="shared" si="6"/>
        <v>1500000</v>
      </c>
      <c r="L35" s="203"/>
      <c r="M35" s="203"/>
      <c r="N35" s="203"/>
      <c r="O35" s="203">
        <f t="shared" si="7"/>
        <v>1500000</v>
      </c>
      <c r="P35" s="203">
        <f t="shared" si="8"/>
        <v>1500000</v>
      </c>
      <c r="Q35" s="203"/>
      <c r="R35" s="203"/>
    </row>
    <row r="36" spans="1:18" ht="17.100000000000001" customHeight="1" x14ac:dyDescent="0.3">
      <c r="A36" s="188" t="s">
        <v>130</v>
      </c>
      <c r="B36" s="188" t="s">
        <v>131</v>
      </c>
      <c r="C36" s="206">
        <v>600000</v>
      </c>
      <c r="D36" s="206">
        <v>600000</v>
      </c>
      <c r="E36" s="203">
        <v>600000</v>
      </c>
      <c r="F36" s="203">
        <v>600000</v>
      </c>
      <c r="G36" s="203"/>
      <c r="H36" s="203"/>
      <c r="I36" s="203"/>
      <c r="J36" s="203">
        <f t="shared" si="5"/>
        <v>600000</v>
      </c>
      <c r="K36" s="203">
        <f t="shared" si="6"/>
        <v>600000</v>
      </c>
      <c r="L36" s="203"/>
      <c r="M36" s="203"/>
      <c r="N36" s="203"/>
      <c r="O36" s="203">
        <f t="shared" si="7"/>
        <v>600000</v>
      </c>
      <c r="P36" s="203">
        <f t="shared" si="8"/>
        <v>600000</v>
      </c>
      <c r="Q36" s="203"/>
      <c r="R36" s="203"/>
    </row>
    <row r="37" spans="1:18" ht="17.100000000000001" customHeight="1" x14ac:dyDescent="0.3">
      <c r="A37" s="188" t="s">
        <v>136</v>
      </c>
      <c r="B37" s="188" t="s">
        <v>137</v>
      </c>
      <c r="C37" s="206">
        <v>26050000</v>
      </c>
      <c r="D37" s="206">
        <v>26050000</v>
      </c>
      <c r="E37" s="203">
        <v>27000000</v>
      </c>
      <c r="F37" s="203">
        <v>27000000</v>
      </c>
      <c r="G37" s="203"/>
      <c r="H37" s="203"/>
      <c r="I37" s="203"/>
      <c r="J37" s="203">
        <f t="shared" si="5"/>
        <v>27000000</v>
      </c>
      <c r="K37" s="203">
        <f t="shared" si="6"/>
        <v>27000000</v>
      </c>
      <c r="L37" s="203"/>
      <c r="M37" s="203"/>
      <c r="N37" s="203">
        <f>-250000-500000+800000+600000+4000000+1000000+3000000+400000</f>
        <v>9050000</v>
      </c>
      <c r="O37" s="203">
        <f t="shared" si="7"/>
        <v>36050000</v>
      </c>
      <c r="P37" s="203">
        <f t="shared" si="8"/>
        <v>36050000</v>
      </c>
      <c r="Q37" s="203"/>
      <c r="R37" s="203"/>
    </row>
    <row r="38" spans="1:18" ht="17.100000000000001" customHeight="1" x14ac:dyDescent="0.3">
      <c r="A38" s="188" t="s">
        <v>150</v>
      </c>
      <c r="B38" s="188" t="s">
        <v>151</v>
      </c>
      <c r="C38" s="206">
        <v>600000</v>
      </c>
      <c r="D38" s="206">
        <v>600000</v>
      </c>
      <c r="E38" s="203">
        <v>600000</v>
      </c>
      <c r="F38" s="203">
        <v>600000</v>
      </c>
      <c r="G38" s="203"/>
      <c r="H38" s="203"/>
      <c r="I38" s="203"/>
      <c r="J38" s="203">
        <f t="shared" si="5"/>
        <v>600000</v>
      </c>
      <c r="K38" s="203">
        <f t="shared" si="6"/>
        <v>600000</v>
      </c>
      <c r="L38" s="203"/>
      <c r="M38" s="203"/>
      <c r="N38" s="203">
        <f>250000+500000</f>
        <v>750000</v>
      </c>
      <c r="O38" s="203">
        <f t="shared" si="7"/>
        <v>1350000</v>
      </c>
      <c r="P38" s="203">
        <f t="shared" si="8"/>
        <v>1350000</v>
      </c>
      <c r="Q38" s="203"/>
      <c r="R38" s="203"/>
    </row>
    <row r="39" spans="1:18" ht="17.100000000000001" customHeight="1" x14ac:dyDescent="0.3">
      <c r="A39" s="188" t="s">
        <v>152</v>
      </c>
      <c r="B39" s="188" t="s">
        <v>153</v>
      </c>
      <c r="C39" s="206">
        <v>3170000</v>
      </c>
      <c r="D39" s="206">
        <v>3170000</v>
      </c>
      <c r="E39" s="203">
        <v>8020000</v>
      </c>
      <c r="F39" s="203">
        <v>8020000</v>
      </c>
      <c r="G39" s="203"/>
      <c r="H39" s="203"/>
      <c r="I39" s="203"/>
      <c r="J39" s="203">
        <f t="shared" si="5"/>
        <v>8020000</v>
      </c>
      <c r="K39" s="203">
        <f t="shared" si="6"/>
        <v>8020000</v>
      </c>
      <c r="L39" s="203"/>
      <c r="M39" s="203"/>
      <c r="N39" s="203">
        <f>-5000000</f>
        <v>-5000000</v>
      </c>
      <c r="O39" s="203">
        <f t="shared" si="7"/>
        <v>3020000</v>
      </c>
      <c r="P39" s="203">
        <f t="shared" si="8"/>
        <v>3020000</v>
      </c>
      <c r="Q39" s="203"/>
      <c r="R39" s="203"/>
    </row>
    <row r="40" spans="1:18" ht="17.100000000000001" customHeight="1" x14ac:dyDescent="0.3">
      <c r="A40" s="183" t="s">
        <v>166</v>
      </c>
      <c r="B40" s="183" t="s">
        <v>167</v>
      </c>
      <c r="C40" s="205">
        <v>0</v>
      </c>
      <c r="D40" s="205">
        <v>0</v>
      </c>
      <c r="E40" s="205">
        <v>0</v>
      </c>
      <c r="F40" s="205">
        <v>0</v>
      </c>
      <c r="G40" s="201"/>
      <c r="H40" s="205"/>
      <c r="I40" s="205">
        <v>0</v>
      </c>
      <c r="J40" s="205">
        <f t="shared" si="5"/>
        <v>0</v>
      </c>
      <c r="K40" s="205">
        <f t="shared" si="6"/>
        <v>0</v>
      </c>
      <c r="L40" s="201"/>
      <c r="M40" s="205"/>
      <c r="N40" s="205">
        <v>0</v>
      </c>
      <c r="O40" s="205">
        <f t="shared" si="7"/>
        <v>0</v>
      </c>
      <c r="P40" s="205">
        <f t="shared" si="8"/>
        <v>0</v>
      </c>
      <c r="Q40" s="201"/>
      <c r="R40" s="205"/>
    </row>
    <row r="41" spans="1:18" ht="17.100000000000001" customHeight="1" x14ac:dyDescent="0.3">
      <c r="A41" s="188" t="s">
        <v>174</v>
      </c>
      <c r="B41" s="188" t="s">
        <v>218</v>
      </c>
      <c r="C41" s="206">
        <v>0</v>
      </c>
      <c r="D41" s="206">
        <v>0</v>
      </c>
      <c r="E41" s="203">
        <v>0</v>
      </c>
      <c r="F41" s="203">
        <v>0</v>
      </c>
      <c r="G41" s="203"/>
      <c r="H41" s="203"/>
      <c r="I41" s="203"/>
      <c r="J41" s="203">
        <f t="shared" si="5"/>
        <v>0</v>
      </c>
      <c r="K41" s="203">
        <f t="shared" si="6"/>
        <v>0</v>
      </c>
      <c r="L41" s="203"/>
      <c r="M41" s="203"/>
      <c r="N41" s="203"/>
      <c r="O41" s="203">
        <f t="shared" si="7"/>
        <v>0</v>
      </c>
      <c r="P41" s="203">
        <f t="shared" si="8"/>
        <v>0</v>
      </c>
      <c r="Q41" s="203"/>
      <c r="R41" s="203"/>
    </row>
    <row r="42" spans="1:18" ht="17.100000000000001" customHeight="1" x14ac:dyDescent="0.3">
      <c r="A42" s="183" t="s">
        <v>219</v>
      </c>
      <c r="B42" s="183" t="s">
        <v>179</v>
      </c>
      <c r="C42" s="201">
        <f>SUM(C43:C46)</f>
        <v>2301000</v>
      </c>
      <c r="D42" s="201">
        <f>SUM(D43:D46)</f>
        <v>2301000</v>
      </c>
      <c r="E42" s="201">
        <f t="shared" ref="E42:F42" si="9">SUM(E43:E46)</f>
        <v>1395000</v>
      </c>
      <c r="F42" s="201">
        <f t="shared" si="9"/>
        <v>1395000</v>
      </c>
      <c r="G42" s="201">
        <v>0</v>
      </c>
      <c r="H42" s="201">
        <v>0</v>
      </c>
      <c r="I42" s="201">
        <f t="shared" ref="I42" si="10">SUM(I43:I46)</f>
        <v>0</v>
      </c>
      <c r="J42" s="201">
        <f t="shared" si="5"/>
        <v>1395000</v>
      </c>
      <c r="K42" s="201">
        <f t="shared" si="6"/>
        <v>1395000</v>
      </c>
      <c r="L42" s="201">
        <v>0</v>
      </c>
      <c r="M42" s="201">
        <v>0</v>
      </c>
      <c r="N42" s="201">
        <f t="shared" ref="N42" si="11">SUM(N43:N46)</f>
        <v>845000</v>
      </c>
      <c r="O42" s="201">
        <f t="shared" si="7"/>
        <v>2240000</v>
      </c>
      <c r="P42" s="201">
        <f t="shared" si="8"/>
        <v>2240000</v>
      </c>
      <c r="Q42" s="201">
        <v>0</v>
      </c>
      <c r="R42" s="201">
        <v>0</v>
      </c>
    </row>
    <row r="43" spans="1:18" ht="17.100000000000001" customHeight="1" x14ac:dyDescent="0.3">
      <c r="A43" s="188" t="s">
        <v>3</v>
      </c>
      <c r="B43" s="23" t="s">
        <v>4</v>
      </c>
      <c r="C43" s="216">
        <v>0</v>
      </c>
      <c r="D43" s="216">
        <v>0</v>
      </c>
      <c r="E43" s="216">
        <v>0</v>
      </c>
      <c r="F43" s="216">
        <v>0</v>
      </c>
      <c r="G43" s="216"/>
      <c r="H43" s="216"/>
      <c r="I43" s="216"/>
      <c r="J43" s="216">
        <f t="shared" si="5"/>
        <v>0</v>
      </c>
      <c r="K43" s="216">
        <f t="shared" si="6"/>
        <v>0</v>
      </c>
      <c r="L43" s="216"/>
      <c r="M43" s="216"/>
      <c r="N43" s="216"/>
      <c r="O43" s="216">
        <f t="shared" si="7"/>
        <v>0</v>
      </c>
      <c r="P43" s="216">
        <f t="shared" si="8"/>
        <v>0</v>
      </c>
      <c r="Q43" s="216"/>
      <c r="R43" s="216"/>
    </row>
    <row r="44" spans="1:18" ht="17.100000000000001" customHeight="1" x14ac:dyDescent="0.3">
      <c r="A44" s="188" t="s">
        <v>430</v>
      </c>
      <c r="B44" s="23" t="s">
        <v>431</v>
      </c>
      <c r="C44" s="216">
        <v>200000</v>
      </c>
      <c r="D44" s="216">
        <v>200000</v>
      </c>
      <c r="E44" s="216">
        <v>200000</v>
      </c>
      <c r="F44" s="216">
        <v>200000</v>
      </c>
      <c r="G44" s="216"/>
      <c r="H44" s="216"/>
      <c r="I44" s="216"/>
      <c r="J44" s="216">
        <f t="shared" si="5"/>
        <v>200000</v>
      </c>
      <c r="K44" s="216">
        <f t="shared" si="6"/>
        <v>200000</v>
      </c>
      <c r="L44" s="216"/>
      <c r="M44" s="216"/>
      <c r="N44" s="216"/>
      <c r="O44" s="216">
        <f t="shared" si="7"/>
        <v>200000</v>
      </c>
      <c r="P44" s="216">
        <f t="shared" si="8"/>
        <v>200000</v>
      </c>
      <c r="Q44" s="216"/>
      <c r="R44" s="216"/>
    </row>
    <row r="45" spans="1:18" ht="17.100000000000001" customHeight="1" x14ac:dyDescent="0.3">
      <c r="A45" s="188" t="s">
        <v>182</v>
      </c>
      <c r="B45" s="188" t="s">
        <v>220</v>
      </c>
      <c r="C45" s="206">
        <v>1800000</v>
      </c>
      <c r="D45" s="206">
        <v>1800000</v>
      </c>
      <c r="E45" s="203">
        <v>900000</v>
      </c>
      <c r="F45" s="203">
        <v>900000</v>
      </c>
      <c r="G45" s="203"/>
      <c r="H45" s="203"/>
      <c r="I45" s="203"/>
      <c r="J45" s="203">
        <f t="shared" si="5"/>
        <v>900000</v>
      </c>
      <c r="K45" s="203">
        <f t="shared" si="6"/>
        <v>900000</v>
      </c>
      <c r="L45" s="203"/>
      <c r="M45" s="203"/>
      <c r="N45" s="203">
        <v>805000</v>
      </c>
      <c r="O45" s="203">
        <f t="shared" si="7"/>
        <v>1705000</v>
      </c>
      <c r="P45" s="203">
        <f t="shared" si="8"/>
        <v>1705000</v>
      </c>
      <c r="Q45" s="203"/>
      <c r="R45" s="203"/>
    </row>
    <row r="46" spans="1:18" ht="17.100000000000001" customHeight="1" x14ac:dyDescent="0.3">
      <c r="A46" s="188" t="s">
        <v>184</v>
      </c>
      <c r="B46" s="188" t="s">
        <v>221</v>
      </c>
      <c r="C46" s="206">
        <v>301000</v>
      </c>
      <c r="D46" s="206">
        <v>301000</v>
      </c>
      <c r="E46" s="203">
        <v>295000</v>
      </c>
      <c r="F46" s="203">
        <v>295000</v>
      </c>
      <c r="G46" s="203"/>
      <c r="H46" s="203"/>
      <c r="I46" s="203"/>
      <c r="J46" s="203">
        <f t="shared" si="5"/>
        <v>295000</v>
      </c>
      <c r="K46" s="203">
        <f t="shared" si="6"/>
        <v>295000</v>
      </c>
      <c r="L46" s="203"/>
      <c r="M46" s="203"/>
      <c r="N46" s="203">
        <v>40000</v>
      </c>
      <c r="O46" s="203">
        <f t="shared" si="7"/>
        <v>335000</v>
      </c>
      <c r="P46" s="203">
        <f t="shared" si="8"/>
        <v>335000</v>
      </c>
      <c r="Q46" s="203"/>
      <c r="R46" s="203"/>
    </row>
    <row r="47" spans="1:18" ht="33" customHeight="1" x14ac:dyDescent="0.25">
      <c r="A47" s="315" t="s">
        <v>397</v>
      </c>
      <c r="B47" s="316"/>
      <c r="C47" s="207">
        <f t="shared" ref="C47:N47" si="12">C30+C33+C34+C42+C40</f>
        <v>50471000</v>
      </c>
      <c r="D47" s="207">
        <f t="shared" si="12"/>
        <v>50471000</v>
      </c>
      <c r="E47" s="192">
        <f t="shared" si="12"/>
        <v>56335000</v>
      </c>
      <c r="F47" s="192">
        <f t="shared" si="12"/>
        <v>56335000</v>
      </c>
      <c r="G47" s="207">
        <f t="shared" si="12"/>
        <v>0</v>
      </c>
      <c r="H47" s="192">
        <f t="shared" si="12"/>
        <v>0</v>
      </c>
      <c r="I47" s="192">
        <f t="shared" si="12"/>
        <v>0</v>
      </c>
      <c r="J47" s="192">
        <f t="shared" si="5"/>
        <v>56335000</v>
      </c>
      <c r="K47" s="192">
        <f t="shared" si="6"/>
        <v>56335000</v>
      </c>
      <c r="L47" s="207">
        <f t="shared" si="12"/>
        <v>0</v>
      </c>
      <c r="M47" s="192">
        <f t="shared" si="12"/>
        <v>0</v>
      </c>
      <c r="N47" s="192">
        <f t="shared" si="12"/>
        <v>5645000</v>
      </c>
      <c r="O47" s="192">
        <f t="shared" si="7"/>
        <v>61980000</v>
      </c>
      <c r="P47" s="192">
        <f t="shared" si="8"/>
        <v>61980000</v>
      </c>
      <c r="Q47" s="207">
        <f t="shared" ref="Q47:R47" si="13">Q30+Q33+Q34+Q42+Q40</f>
        <v>0</v>
      </c>
      <c r="R47" s="192">
        <f t="shared" si="13"/>
        <v>0</v>
      </c>
    </row>
    <row r="48" spans="1:18" ht="17.100000000000001" customHeight="1" x14ac:dyDescent="0.3">
      <c r="A48" s="193"/>
      <c r="B48" s="193"/>
      <c r="C48" s="193"/>
      <c r="D48" s="208"/>
      <c r="E48" s="208"/>
      <c r="F48" s="209"/>
      <c r="G48" s="209"/>
      <c r="H48" s="209"/>
      <c r="I48" s="208"/>
      <c r="J48" s="208"/>
      <c r="K48" s="209"/>
      <c r="L48" s="209"/>
      <c r="M48" s="209"/>
      <c r="N48" s="208"/>
      <c r="O48" s="208"/>
      <c r="P48" s="209"/>
      <c r="Q48" s="209"/>
      <c r="R48" s="209"/>
    </row>
    <row r="49" spans="1:18" ht="17.100000000000001" customHeight="1" x14ac:dyDescent="0.3">
      <c r="A49" s="210"/>
      <c r="B49" s="211"/>
      <c r="C49" s="211"/>
      <c r="D49" s="211"/>
      <c r="E49" s="210"/>
      <c r="F49" s="209"/>
      <c r="G49" s="209"/>
      <c r="H49" s="209"/>
      <c r="I49" s="210"/>
      <c r="J49" s="210"/>
      <c r="K49" s="209"/>
      <c r="L49" s="209"/>
      <c r="M49" s="209"/>
      <c r="N49" s="210"/>
      <c r="O49" s="210"/>
      <c r="P49" s="209"/>
      <c r="Q49" s="209"/>
      <c r="R49" s="209"/>
    </row>
    <row r="50" spans="1:18" ht="17.100000000000001" customHeight="1" x14ac:dyDescent="0.3">
      <c r="A50" s="329" t="s">
        <v>222</v>
      </c>
      <c r="B50" s="330"/>
      <c r="C50" s="330"/>
      <c r="D50" s="330"/>
      <c r="E50" s="212">
        <v>3</v>
      </c>
      <c r="F50" s="209"/>
      <c r="G50" s="209"/>
      <c r="H50" s="209"/>
      <c r="I50" s="212">
        <v>3</v>
      </c>
      <c r="J50" s="212">
        <v>3</v>
      </c>
      <c r="K50" s="209"/>
      <c r="L50" s="209"/>
      <c r="M50" s="209"/>
      <c r="N50" s="212">
        <v>3</v>
      </c>
      <c r="O50" s="212">
        <v>3</v>
      </c>
      <c r="P50" s="209"/>
      <c r="Q50" s="209"/>
      <c r="R50" s="209"/>
    </row>
    <row r="51" spans="1:18" ht="17.100000000000001" customHeight="1" x14ac:dyDescent="0.3">
      <c r="A51" s="329" t="s">
        <v>223</v>
      </c>
      <c r="B51" s="330"/>
      <c r="C51" s="330"/>
      <c r="D51" s="330"/>
      <c r="E51" s="212">
        <v>0</v>
      </c>
      <c r="F51" s="209"/>
      <c r="G51" s="209"/>
      <c r="H51" s="209"/>
      <c r="I51" s="212">
        <v>0</v>
      </c>
      <c r="J51" s="212">
        <v>0</v>
      </c>
      <c r="K51" s="209"/>
      <c r="L51" s="209"/>
      <c r="M51" s="209"/>
      <c r="N51" s="212">
        <v>0</v>
      </c>
      <c r="O51" s="212">
        <v>0</v>
      </c>
      <c r="P51" s="209"/>
      <c r="Q51" s="209"/>
      <c r="R51" s="209"/>
    </row>
    <row r="52" spans="1:18" x14ac:dyDescent="0.25">
      <c r="F52" s="214"/>
      <c r="G52" s="214"/>
      <c r="H52" s="214"/>
      <c r="K52" s="214"/>
      <c r="L52" s="214"/>
      <c r="M52" s="214"/>
      <c r="P52" s="214"/>
      <c r="Q52" s="214"/>
      <c r="R52" s="214"/>
    </row>
    <row r="53" spans="1:18" x14ac:dyDescent="0.25">
      <c r="F53" s="214"/>
      <c r="G53" s="214"/>
      <c r="H53" s="214"/>
      <c r="K53" s="214"/>
      <c r="L53" s="214"/>
      <c r="M53" s="214"/>
      <c r="P53" s="214"/>
      <c r="Q53" s="214"/>
      <c r="R53" s="214"/>
    </row>
  </sheetData>
  <mergeCells count="36">
    <mergeCell ref="Q5:R5"/>
    <mergeCell ref="N6:N7"/>
    <mergeCell ref="O6:O7"/>
    <mergeCell ref="P6:R6"/>
    <mergeCell ref="N28:N29"/>
    <mergeCell ref="O28:O29"/>
    <mergeCell ref="P28:R28"/>
    <mergeCell ref="A51:D51"/>
    <mergeCell ref="F6:H6"/>
    <mergeCell ref="A28:A29"/>
    <mergeCell ref="B28:B29"/>
    <mergeCell ref="C28:C29"/>
    <mergeCell ref="D28:D29"/>
    <mergeCell ref="E28:E29"/>
    <mergeCell ref="F28:H28"/>
    <mergeCell ref="A6:A7"/>
    <mergeCell ref="D6:D7"/>
    <mergeCell ref="B6:B7"/>
    <mergeCell ref="A2:H2"/>
    <mergeCell ref="A50:D50"/>
    <mergeCell ref="A3:H3"/>
    <mergeCell ref="A5:B5"/>
    <mergeCell ref="D5:E5"/>
    <mergeCell ref="G5:H5"/>
    <mergeCell ref="A25:B25"/>
    <mergeCell ref="A47:B47"/>
    <mergeCell ref="C6:C7"/>
    <mergeCell ref="E6:E7"/>
    <mergeCell ref="A4:B4"/>
    <mergeCell ref="I6:I7"/>
    <mergeCell ref="I28:I29"/>
    <mergeCell ref="L5:M5"/>
    <mergeCell ref="J6:J7"/>
    <mergeCell ref="K6:M6"/>
    <mergeCell ref="J28:J29"/>
    <mergeCell ref="K28:M28"/>
  </mergeCells>
  <phoneticPr fontId="49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10</vt:i4>
      </vt:variant>
    </vt:vector>
  </HeadingPairs>
  <TitlesOfParts>
    <vt:vector size="26" baseType="lpstr">
      <vt:lpstr>1. Mérlegszerű</vt:lpstr>
      <vt:lpstr>1.a. Összevont bevételek</vt:lpstr>
      <vt:lpstr>1.b Összevont kiadások</vt:lpstr>
      <vt:lpstr>2a. Önkormányzat bevételek</vt:lpstr>
      <vt:lpstr>2b. Önkormányzat kiadások</vt:lpstr>
      <vt:lpstr>3a. Hivatal</vt:lpstr>
      <vt:lpstr>3b. HivatalVv</vt:lpstr>
      <vt:lpstr>3c. HivatalBgy</vt:lpstr>
      <vt:lpstr>4. Művelődési Ház</vt:lpstr>
      <vt:lpstr>6. Felhalmozás</vt:lpstr>
      <vt:lpstr>7,a Műk. mérleg</vt:lpstr>
      <vt:lpstr>7,b Felhalmozási mérleg</vt:lpstr>
      <vt:lpstr>8. Tartalékok</vt:lpstr>
      <vt:lpstr>11. Likviditási terv </vt:lpstr>
      <vt:lpstr>14. Adóss.kel.ügyl.</vt:lpstr>
      <vt:lpstr>17. Egyébműkctám</vt:lpstr>
      <vt:lpstr>'1. Mérlegszerű'!Nyomtatási_terület</vt:lpstr>
      <vt:lpstr>'1.a. Összevont bevételek'!Nyomtatási_terület</vt:lpstr>
      <vt:lpstr>'1.b Összevont kiadások'!Nyomtatási_terület</vt:lpstr>
      <vt:lpstr>'2a. Önkormányzat bevételek'!Nyomtatási_terület</vt:lpstr>
      <vt:lpstr>'2b. Önkormányzat kiadások'!Nyomtatási_terület</vt:lpstr>
      <vt:lpstr>'3a. Hivatal'!Nyomtatási_terület</vt:lpstr>
      <vt:lpstr>'3b. HivatalVv'!Nyomtatási_terület</vt:lpstr>
      <vt:lpstr>'3c. HivatalBgy'!Nyomtatási_terület</vt:lpstr>
      <vt:lpstr>'4. Művelődési Ház'!Nyomtatási_terület</vt:lpstr>
      <vt:lpstr>'6. Felhalmozás'!Nyomtatási_terület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Nóra</dc:creator>
  <cp:lastModifiedBy>user</cp:lastModifiedBy>
  <cp:lastPrinted>2022-09-22T09:56:29Z</cp:lastPrinted>
  <dcterms:created xsi:type="dcterms:W3CDTF">2019-03-03T08:32:22Z</dcterms:created>
  <dcterms:modified xsi:type="dcterms:W3CDTF">2022-09-22T09:56:55Z</dcterms:modified>
</cp:coreProperties>
</file>